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autoCompressPictures="0"/>
  <mc:AlternateContent xmlns:mc="http://schemas.openxmlformats.org/markup-compatibility/2006">
    <mc:Choice Requires="x15">
      <x15ac:absPath xmlns:x15ac="http://schemas.microsoft.com/office/spreadsheetml/2010/11/ac" url="https://d.docs.live.net/88c02f860353be46/1. MV Elec/3. MV - Operations ^0 Quality/Quality/RoHs^J Reach^J Conflic Mat and Decleration/"/>
    </mc:Choice>
  </mc:AlternateContent>
  <xr:revisionPtr revIDLastSave="26" documentId="8_{6862A09E-78B5-4ACC-A857-13BCFA2DD1A0}" xr6:coauthVersionLast="47" xr6:coauthVersionMax="47" xr10:uidLastSave="{BB21C419-52D0-4561-B2BC-8CBA08BDF43F}"/>
  <workbookProtection workbookAlgorithmName="SHA-512" workbookHashValue="3ODvpALY1x61Cvd0Oofqg97ZNd7+40fUrp7alBOJ/L1ruQ6E/ma5lVUydUoqfrQWad9IBPUQppnTUXDHO2Yr1A==" workbookSaltValue="WfJGw/J05jzXDaJ4irXs0g==" workbookSpinCount="100000" lockStructure="1"/>
  <bookViews>
    <workbookView xWindow="-32897" yWindow="-18617" windowWidth="33120" windowHeight="1800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6" i="5" l="1"/>
  <c r="T6" i="5"/>
  <c r="S7" i="5"/>
  <c r="T7" i="5"/>
  <c r="S8" i="5"/>
  <c r="T8" i="5"/>
  <c r="S9" i="5"/>
  <c r="T9" i="5"/>
  <c r="S10" i="5"/>
  <c r="T10" i="5"/>
  <c r="S11" i="5"/>
  <c r="T11" i="5"/>
  <c r="S12" i="5"/>
  <c r="T12" i="5"/>
  <c r="S13" i="5"/>
  <c r="T13" i="5"/>
  <c r="S14" i="5"/>
  <c r="T14" i="5"/>
  <c r="S15" i="5"/>
  <c r="T15" i="5"/>
  <c r="S16" i="5"/>
  <c r="T16" i="5"/>
  <c r="S17" i="5"/>
  <c r="T17" i="5"/>
  <c r="S18" i="5"/>
  <c r="T18" i="5"/>
  <c r="S19" i="5"/>
  <c r="T19" i="5"/>
  <c r="S20" i="5"/>
  <c r="T20" i="5"/>
  <c r="S21" i="5"/>
  <c r="T21" i="5"/>
  <c r="S22" i="5"/>
  <c r="T22" i="5"/>
  <c r="S23" i="5"/>
  <c r="T23" i="5"/>
  <c r="S24" i="5"/>
  <c r="T24" i="5"/>
  <c r="S25" i="5"/>
  <c r="T25" i="5"/>
  <c r="S26" i="5"/>
  <c r="T26" i="5"/>
  <c r="S27" i="5"/>
  <c r="T27" i="5"/>
  <c r="S28" i="5"/>
  <c r="T28" i="5"/>
  <c r="S29" i="5"/>
  <c r="T29" i="5"/>
  <c r="S30" i="5"/>
  <c r="T30" i="5"/>
  <c r="S31" i="5"/>
  <c r="T31" i="5"/>
  <c r="S32" i="5"/>
  <c r="T32" i="5"/>
  <c r="S33" i="5"/>
  <c r="T33" i="5"/>
  <c r="S34" i="5"/>
  <c r="T34" i="5"/>
  <c r="S35" i="5"/>
  <c r="T35" i="5"/>
  <c r="S36" i="5"/>
  <c r="T36" i="5"/>
  <c r="S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S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4" i="5"/>
  <c r="AB36"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V6" i="5"/>
  <c r="V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X9" i="5"/>
  <c r="V10" i="5"/>
  <c r="X10" i="5"/>
  <c r="V11" i="5"/>
  <c r="X11" i="5"/>
  <c r="V12" i="5"/>
  <c r="X12" i="5"/>
  <c r="V13" i="5"/>
  <c r="X13" i="5"/>
  <c r="V14" i="5"/>
  <c r="X14" i="5"/>
  <c r="V15" i="5"/>
  <c r="X15" i="5"/>
  <c r="V16" i="5"/>
  <c r="X16" i="5"/>
  <c r="V17" i="5"/>
  <c r="X17" i="5"/>
  <c r="V18" i="5"/>
  <c r="X18" i="5"/>
  <c r="V19" i="5"/>
  <c r="V20" i="5"/>
  <c r="X20" i="5"/>
  <c r="V21" i="5"/>
  <c r="X21" i="5"/>
  <c r="V22" i="5"/>
  <c r="X22" i="5"/>
  <c r="V23" i="5"/>
  <c r="X23" i="5"/>
  <c r="V24" i="5"/>
  <c r="X24" i="5"/>
  <c r="V25" i="5"/>
  <c r="X25" i="5"/>
  <c r="V26" i="5"/>
  <c r="X26" i="5"/>
  <c r="V27" i="5"/>
  <c r="V28" i="5"/>
  <c r="X28" i="5"/>
  <c r="V29" i="5"/>
  <c r="X29" i="5"/>
  <c r="V30" i="5"/>
  <c r="V31" i="5"/>
  <c r="X31" i="5"/>
  <c r="V32" i="5"/>
  <c r="X32" i="5"/>
  <c r="V33" i="5"/>
  <c r="X33" i="5"/>
  <c r="V34" i="5"/>
  <c r="X34" i="5"/>
  <c r="V35" i="5"/>
  <c r="X35" i="5"/>
  <c r="V36" i="5"/>
  <c r="V37" i="5"/>
  <c r="X37" i="5"/>
  <c r="V38" i="5"/>
  <c r="E38" i="5"/>
  <c r="X38" i="5"/>
  <c r="V39" i="5"/>
  <c r="E39" i="5"/>
  <c r="X39" i="5"/>
  <c r="V40" i="5"/>
  <c r="E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V53" i="5"/>
  <c r="E53" i="5"/>
  <c r="X53" i="5"/>
  <c r="V54" i="5"/>
  <c r="E54" i="5"/>
  <c r="X54" i="5"/>
  <c r="V55" i="5"/>
  <c r="E55" i="5"/>
  <c r="X55" i="5"/>
  <c r="V56" i="5"/>
  <c r="E56" i="5"/>
  <c r="V57" i="5"/>
  <c r="E57" i="5"/>
  <c r="X57" i="5"/>
  <c r="V58" i="5"/>
  <c r="E58" i="5"/>
  <c r="X58" i="5"/>
  <c r="V59" i="5"/>
  <c r="E59" i="5"/>
  <c r="X59" i="5"/>
  <c r="V60" i="5"/>
  <c r="E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G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C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J56"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61" i="1"/>
  <c r="F4" i="8"/>
  <c r="H4" i="8"/>
  <c r="I4" i="8"/>
  <c r="C4" i="8"/>
  <c r="S94" i="5"/>
  <c r="S150" i="5"/>
  <c r="S491" i="5"/>
  <c r="S511" i="5"/>
  <c r="S147" i="5"/>
  <c r="S193" i="5"/>
  <c r="S203" i="5"/>
  <c r="S85" i="5"/>
  <c r="S167" i="5"/>
  <c r="S247" i="5"/>
  <c r="S344" i="5"/>
  <c r="S397" i="5"/>
  <c r="S401" i="5"/>
  <c r="S409" i="5"/>
  <c r="S372" i="5"/>
  <c r="S437" i="5"/>
  <c r="S428" i="5"/>
  <c r="S452" i="5"/>
  <c r="S548" i="5"/>
  <c r="S377" i="5"/>
  <c r="S349" i="5"/>
  <c r="S539" i="5"/>
  <c r="S169" i="5"/>
  <c r="S53" i="5"/>
  <c r="S61" i="5"/>
  <c r="S123" i="5"/>
  <c r="S177" i="5"/>
  <c r="S361" i="5"/>
  <c r="S77" i="5"/>
  <c r="S97" i="5"/>
  <c r="S219" i="5"/>
  <c r="S295" i="5"/>
  <c r="S417" i="5"/>
  <c r="S432" i="5"/>
  <c r="S560" i="5"/>
  <c r="S510" i="5"/>
  <c r="S106" i="5"/>
  <c r="S341" i="5"/>
  <c r="S47" i="5"/>
  <c r="S55" i="5"/>
  <c r="S83" i="5"/>
  <c r="S95" i="5"/>
  <c r="S161" i="5"/>
  <c r="S171" i="5"/>
  <c r="S45" i="5"/>
  <c r="S113" i="5"/>
  <c r="S145" i="5"/>
  <c r="S135" i="5"/>
  <c r="S267" i="5"/>
  <c r="S275" i="5"/>
  <c r="S388" i="5"/>
  <c r="S429" i="5"/>
  <c r="S449" i="5"/>
  <c r="S457" i="5"/>
  <c r="S436" i="5"/>
  <c r="S190" i="5"/>
  <c r="S229" i="5"/>
  <c r="S237" i="5"/>
  <c r="S225" i="5"/>
  <c r="S179" i="5"/>
  <c r="S105" i="5"/>
  <c r="S137" i="5"/>
  <c r="S159" i="5"/>
  <c r="S75" i="5"/>
  <c r="S119" i="5"/>
  <c r="S183" i="5"/>
  <c r="S131" i="5"/>
  <c r="S195"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479" i="5"/>
  <c r="S67" i="5"/>
  <c r="S143" i="5"/>
  <c r="S175" i="5"/>
  <c r="S57" i="5"/>
  <c r="S69" i="5"/>
  <c r="S89" i="5"/>
  <c r="S155" i="5"/>
  <c r="S49" i="5"/>
  <c r="S157" i="5"/>
  <c r="S364" i="5"/>
  <c r="S304" i="5"/>
  <c r="S392" i="5"/>
  <c r="S348" i="5"/>
  <c r="S433" i="5"/>
  <c r="S444" i="5"/>
  <c r="S584" i="5"/>
  <c r="S51" i="5"/>
  <c r="S59" i="5"/>
  <c r="S99" i="5"/>
  <c r="S81" i="5"/>
  <c r="S41" i="5"/>
  <c r="S235" i="5"/>
  <c r="S271" i="5"/>
  <c r="S291" i="5"/>
  <c r="S396" i="5"/>
  <c r="S400" i="5"/>
  <c r="S405" i="5"/>
  <c r="S413" i="5"/>
  <c r="S453" i="5"/>
  <c r="S420" i="5"/>
  <c r="S448" i="5"/>
  <c r="S210" i="5"/>
  <c r="S7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D41" i="6"/>
  <c r="D36" i="6"/>
  <c r="D51" i="6"/>
  <c r="D45" i="6"/>
  <c r="F66" i="6"/>
  <c r="D5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D42" i="6"/>
  <c r="F68" i="6"/>
  <c r="D52"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984" i="5"/>
  <c r="F984" i="5"/>
  <c r="R984" i="5"/>
  <c r="J984" i="5"/>
  <c r="I984"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X27" i="5"/>
  <c r="F43" i="5"/>
  <c r="E43" i="5"/>
  <c r="X43" i="5"/>
  <c r="H87" i="5"/>
  <c r="E87" i="5"/>
  <c r="X87" i="5"/>
  <c r="F103" i="5"/>
  <c r="E103" i="5"/>
  <c r="X103" i="5"/>
  <c r="I175" i="5"/>
  <c r="E175" i="5"/>
  <c r="X175"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R7" i="5"/>
  <c r="X7" i="5"/>
  <c r="R8" i="5"/>
  <c r="X8" i="5"/>
  <c r="V209" i="5"/>
  <c r="G209" i="5"/>
  <c r="R379" i="5"/>
  <c r="E379" i="5"/>
  <c r="X379" i="5"/>
  <c r="H423" i="5"/>
  <c r="E423" i="5"/>
  <c r="X423" i="5"/>
  <c r="X30" i="5"/>
  <c r="X56" i="5"/>
  <c r="X60" i="5"/>
  <c r="X64" i="5"/>
  <c r="X68" i="5"/>
  <c r="X80" i="5"/>
  <c r="X88" i="5"/>
  <c r="X343" i="5"/>
  <c r="X36" i="5"/>
  <c r="X40" i="5"/>
  <c r="X52" i="5"/>
  <c r="X72" i="5"/>
  <c r="X84" i="5"/>
  <c r="X101" i="5"/>
  <c r="X344" i="5"/>
  <c r="X531"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F69" i="6"/>
  <c r="C69" i="6"/>
  <c r="R6" i="5"/>
  <c r="X6" i="5"/>
  <c r="R20" i="5"/>
  <c r="R21" i="5"/>
  <c r="R28" i="5"/>
  <c r="R29" i="5"/>
  <c r="R36"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AB7" i="5"/>
  <c r="AB8" i="5"/>
  <c r="AB9" i="5"/>
  <c r="AB10" i="5"/>
  <c r="AB11" i="5"/>
  <c r="AB12" i="5"/>
  <c r="AB13" i="5"/>
  <c r="AB14" i="5"/>
  <c r="AB15" i="5"/>
  <c r="AB16" i="5"/>
  <c r="AB17" i="5"/>
  <c r="AB18" i="5"/>
  <c r="AB22" i="5"/>
  <c r="AB24" i="5"/>
  <c r="AB26" i="5"/>
  <c r="AB30" i="5"/>
  <c r="AB32"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R10" i="5"/>
  <c r="R11" i="5"/>
  <c r="R12" i="5"/>
  <c r="R13" i="5"/>
  <c r="R14" i="5"/>
  <c r="R15" i="5"/>
  <c r="R16" i="5"/>
  <c r="R17" i="5"/>
  <c r="R18" i="5"/>
  <c r="R19" i="5"/>
  <c r="R22" i="5"/>
  <c r="R23" i="5"/>
  <c r="R24" i="5"/>
  <c r="R25" i="5"/>
  <c r="R26" i="5"/>
  <c r="R27" i="5"/>
  <c r="R30" i="5"/>
  <c r="R31" i="5"/>
  <c r="R32" i="5"/>
  <c r="R33" i="5"/>
  <c r="R34" i="5"/>
  <c r="R35" i="5"/>
  <c r="R37" i="5"/>
  <c r="H38" i="5"/>
  <c r="I38" i="5"/>
  <c r="R38" i="5"/>
  <c r="I39" i="5"/>
  <c r="R39" i="5"/>
  <c r="F39" i="5"/>
  <c r="J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E209" i="5"/>
  <c r="X209" i="5"/>
  <c r="J209" i="5"/>
  <c r="R209" i="5"/>
  <c r="F209" i="5"/>
  <c r="H209" i="5"/>
  <c r="I209" i="5"/>
  <c r="R5" i="5"/>
  <c r="X5" i="5"/>
  <c r="G68" i="6"/>
  <c r="H68"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H65" i="6"/>
  <c r="G67" i="6"/>
  <c r="H67" i="6"/>
  <c r="G66" i="6"/>
  <c r="H66" i="6"/>
  <c r="C64" i="6"/>
  <c r="D64" i="6"/>
  <c r="D68" i="6"/>
  <c r="C68" i="6"/>
  <c r="G69" i="6" a="1"/>
  <c r="G69" i="6"/>
  <c r="H69" i="6"/>
  <c r="H70" i="6"/>
  <c r="D2" i="6"/>
  <c r="X1040"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<sst xmlns="http://schemas.openxmlformats.org/spreadsheetml/2006/main" count="22825" uniqueCount="15915">
  <si>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</si>
  <si>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</si>
  <si>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</si>
  <si>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</si>
  <si>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</si>
  <si>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</si>
  <si>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</si>
  <si>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</si>
  <si>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</si>
  <si>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</si>
  <si>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</si>
  <si>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</si>
  <si>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</si>
  <si>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</si>
  <si>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</si>
  <si>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</si>
  <si>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</si>
  <si>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</si>
  <si>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</si>
  <si>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</si>
  <si>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</si>
  <si>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</si>
  <si>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</si>
  <si>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</si>
  <si>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</si>
  <si>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</si>
  <si>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</si>
  <si>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</si>
  <si>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</si>
  <si>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</si>
  <si>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</si>
  <si>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</si>
  <si>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</si>
  <si>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</si>
  <si>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</si>
  <si>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</si>
  <si>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</si>
  <si>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</si>
  <si>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</si>
  <si>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</si>
  <si>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</si>
  <si>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</si>
  <si>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</si>
  <si>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</si>
  <si>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</si>
  <si>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</si>
  <si>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</si>
  <si>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</si>
  <si>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</si>
  <si>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</si>
  <si>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</si>
  <si>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</si>
  <si>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</si>
  <si>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</si>
  <si>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</si>
  <si>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</si>
  <si>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</si>
  <si>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</si>
  <si>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</si>
  <si>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</si>
  <si>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</si>
  <si>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</si>
  <si>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</si>
  <si>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</si>
  <si>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</si>
  <si>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</si>
  <si>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</si>
  <si>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</si>
  <si>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</si>
  <si>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</si>
  <si>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</si>
  <si>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</si>
  <si>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</si>
  <si>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</si>
  <si>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</si>
  <si>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</si>
  <si>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</si>
  <si>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</si>
  <si>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</si>
  <si>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</si>
  <si>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</si>
  <si>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</si>
  <si>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</si>
  <si>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</si>
  <si>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</si>
  <si>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</si>
  <si>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</si>
  <si>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</si>
  <si>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</si>
  <si>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</si>
  <si>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</si>
  <si>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</si>
  <si>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</si>
  <si>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</si>
  <si>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</si>
  <si>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</si>
  <si>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</si>
  <si>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</si>
  <si>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</si>
  <si>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</si>
  <si>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</si>
  <si>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</si>
  <si>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</si>
  <si>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</si>
  <si>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</si>
  <si>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</si>
  <si>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</si>
  <si>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</si>
  <si>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</si>
  <si>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</si>
  <si>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</si>
  <si>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</si>
  <si>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</si>
  <si>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</si>
  <si>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</si>
  <si>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</si>
  <si>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</si>
  <si>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</si>
  <si>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</si>
  <si>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</si>
  <si>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</si>
  <si>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</si>
  <si>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</si>
  <si>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</si>
  <si>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</si>
  <si>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</si>
  <si>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</si>
  <si>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</si>
  <si>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</si>
  <si>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</si>
  <si>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</si>
  <si>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</si>
  <si>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</si>
  <si>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</si>
  <si>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</si>
  <si>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</si>
  <si>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</si>
  <si>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</si>
  <si>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</si>
  <si>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</si>
  <si>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</si>
  <si>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</si>
  <si>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</si>
  <si>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</si>
  <si>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</si>
  <si>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</si>
  <si>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</si>
  <si>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</si>
  <si>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</si>
  <si>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</si>
  <si>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</si>
  <si>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</si>
  <si>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</si>
  <si>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</si>
  <si>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</si>
  <si>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</si>
  <si>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</si>
  <si>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</si>
  <si>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</si>
  <si>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</si>
  <si>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</si>
  <si>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</si>
  <si>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</si>
  <si>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</si>
  <si>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</si>
  <si>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</si>
  <si>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</si>
  <si>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</si>
  <si>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</si>
  <si>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</si>
  <si>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</si>
  <si>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</si>
  <si>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</si>
  <si>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</si>
  <si>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</si>
  <si>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</si>
  <si>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</si>
  <si>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</si>
  <si>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</si>
  <si>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</si>
  <si>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</si>
  <si>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</si>
  <si>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</si>
  <si>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</si>
  <si>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</si>
  <si>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</si>
  <si>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</si>
  <si>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</si>
  <si>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</si>
  <si>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</si>
  <si>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</si>
  <si>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</si>
  <si>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</si>
  <si>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</si>
  <si>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</si>
  <si>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</si>
  <si>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</si>
  <si>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</si>
  <si>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</si>
  <si>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</si>
  <si>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</si>
  <si>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</si>
  <si>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</si>
  <si>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</si>
  <si>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</si>
  <si>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</si>
  <si>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</si>
  <si>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</si>
  <si>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</si>
  <si>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</si>
  <si>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</si>
  <si>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</si>
  <si>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</si>
  <si>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</si>
  <si>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</si>
  <si>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</si>
  <si>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</si>
  <si>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</si>
  <si>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</si>
  <si>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</si>
  <si>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</si>
  <si>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</si>
  <si>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</si>
  <si>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</si>
  <si>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</si>
  <si>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</si>
  <si>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</si>
  <si>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</si>
  <si>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</si>
  <si>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</si>
  <si>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</si>
  <si>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</si>
  <si>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</si>
  <si>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</si>
  <si>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</si>
  <si>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</si>
  <si>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</si>
  <si>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</si>
  <si>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</si>
  <si>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</si>
  <si>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</si>
  <si>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</si>
  <si>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</si>
  <si>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</si>
  <si>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</si>
  <si>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</si>
  <si>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</si>
  <si>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</si>
  <si>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</si>
  <si>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</si>
  <si>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</si>
  <si>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</si>
  <si>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</si>
  <si>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</si>
  <si>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</si>
  <si>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</si>
  <si>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</si>
  <si>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</si>
  <si>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</si>
  <si>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</si>
  <si>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</si>
  <si>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</si>
  <si>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</si>
  <si>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</si>
  <si>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</si>
  <si>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</si>
  <si>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</si>
  <si>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</si>
  <si>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</si>
  <si>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</si>
  <si>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</si>
  <si>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</si>
  <si>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</si>
  <si>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</si>
  <si>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</si>
  <si>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</si>
  <si>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</si>
  <si>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</si>
  <si>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</si>
  <si>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</si>
  <si>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</si>
  <si>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</si>
  <si>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</si>
  <si>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</si>
  <si>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</si>
  <si>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</si>
  <si>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</si>
  <si>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</si>
  <si>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</si>
  <si>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</si>
  <si>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</si>
  <si>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</si>
  <si>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</si>
  <si>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</si>
  <si>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</si>
  <si>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</si>
  <si>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</si>
  <si>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</si>
  <si>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</si>
  <si>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</si>
  <si>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</si>
  <si>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</si>
  <si>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</si>
  <si>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</si>
  <si>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</si>
  <si>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</si>
  <si>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</si>
  <si>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</si>
  <si>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</si>
  <si>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</si>
  <si>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</si>
  <si>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</si>
  <si>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</si>
  <si>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</si>
  <si>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</si>
  <si>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</si>
  <si>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</si>
  <si>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</si>
  <si>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</si>
  <si>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</si>
  <si>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</si>
  <si>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</si>
  <si>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</si>
  <si>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</si>
  <si>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</si>
  <si>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</si>
  <si>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</si>
  <si>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</si>
  <si>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</si>
  <si>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</si>
  <si>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</si>
  <si>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</si>
  <si>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</si>
  <si>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</si>
  <si>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</si>
  <si>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</si>
  <si>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</si>
  <si>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</si>
  <si>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</si>
  <si>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</si>
  <si>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</si>
  <si>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</si>
  <si>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</si>
  <si>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</si>
  <si>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</si>
  <si>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</si>
  <si>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</si>
  <si>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</si>
  <si>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</si>
  <si>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</si>
  <si>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</si>
  <si>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</si>
  <si>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</si>
  <si>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</si>
  <si>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</si>
  <si>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</si>
  <si>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</si>
  <si>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</si>
  <si>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</si>
  <si>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</si>
  <si>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</si>
  <si>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</si>
  <si>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</si>
  <si>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</si>
  <si>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</si>
  <si>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</si>
  <si>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</si>
  <si>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</si>
  <si>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</si>
  <si>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</si>
  <si>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</si>
  <si>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</si>
  <si>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</si>
  <si>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</si>
  <si>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</si>
  <si>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</si>
  <si>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</si>
  <si>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</si>
  <si>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</si>
  <si>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</si>
  <si>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</si>
  <si>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</si>
  <si>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</si>
  <si>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</si>
  <si>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</si>
  <si>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</si>
  <si>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</si>
  <si>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</si>
  <si>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</si>
  <si>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</si>
  <si>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</si>
  <si>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</si>
  <si>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</si>
  <si>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</si>
  <si>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</si>
  <si>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</si>
  <si>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</si>
  <si>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</si>
  <si>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</si>
  <si>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</si>
  <si>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</si>
  <si>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</si>
  <si>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</si>
  <si>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</si>
  <si>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</si>
  <si>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</si>
  <si>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</si>
  <si>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</si>
  <si>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</si>
  <si>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</si>
  <si>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</si>
  <si>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</si>
  <si>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</si>
  <si>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</si>
  <si>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</si>
  <si>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</si>
  <si>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</si>
  <si>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</si>
  <si>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</si>
  <si>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</si>
  <si>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</si>
  <si>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</si>
  <si>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</si>
  <si>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</si>
  <si>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</si>
  <si>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</si>
  <si>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</si>
  <si>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</si>
  <si>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</si>
  <si>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</si>
  <si>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</si>
  <si>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</si>
  <si>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</si>
  <si>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</si>
  <si>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</si>
  <si>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</si>
  <si>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</si>
  <si>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</si>
  <si>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</si>
  <si>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</si>
  <si>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</si>
  <si>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</si>
  <si>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</si>
  <si>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</si>
  <si>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</si>
  <si>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</si>
  <si>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</si>
  <si>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</si>
  <si>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</si>
  <si>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</si>
  <si>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</si>
  <si>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</si>
  <si>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</si>
  <si>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</si>
  <si>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</si>
  <si>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</si>
  <si>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</si>
  <si>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</si>
  <si>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</si>
  <si>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</si>
  <si>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</si>
  <si>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</si>
  <si>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</si>
  <si>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</si>
  <si>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</si>
  <si>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</si>
  <si>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</si>
  <si>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</si>
  <si>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</si>
  <si>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</si>
  <si>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</si>
  <si>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</si>
  <si>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</si>
  <si>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</si>
  <si>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</si>
  <si>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</si>
  <si>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</si>
  <si>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</si>
  <si>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</si>
  <si>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</si>
  <si>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</si>
  <si>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</si>
  <si>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</si>
  <si>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</si>
  <si>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</si>
  <si>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</si>
  <si>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</si>
  <si>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</si>
  <si>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</si>
  <si>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</si>
  <si>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</si>
  <si>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</si>
  <si>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</si>
  <si>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</si>
  <si>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</si>
  <si>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</si>
  <si>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</si>
  <si>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</si>
  <si>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</si>
  <si>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</si>
  <si>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</si>
  <si>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</si>
  <si>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</si>
  <si>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</si>
  <si>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</si>
  <si>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</si>
  <si>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</si>
  <si>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</si>
  <si>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</si>
  <si>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</si>
  <si>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</si>
  <si>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</si>
  <si>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</si>
  <si>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</si>
  <si>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</si>
  <si>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</si>
  <si>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</si>
  <si>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</si>
  <si>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</si>
  <si>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</si>
  <si>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</si>
  <si>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</si>
  <si>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</si>
  <si>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</si>
  <si>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</si>
  <si>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</si>
  <si>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</si>
  <si>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</si>
  <si>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</si>
  <si>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</si>
  <si>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</si>
  <si>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</si>
  <si>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</si>
  <si>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</si>
  <si>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</si>
  <si>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</si>
  <si>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</si>
  <si>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</si>
  <si>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</si>
  <si>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</si>
  <si>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</si>
  <si>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</si>
  <si>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</si>
  <si>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</si>
  <si>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</si>
  <si>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</si>
  <si>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</si>
  <si>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</si>
  <si>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</si>
  <si>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</si>
  <si>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</si>
  <si>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</si>
  <si>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</si>
  <si>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</si>
  <si>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</si>
  <si>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</si>
  <si>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</si>
  <si>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</si>
  <si>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</si>
  <si>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</si>
  <si>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</si>
  <si>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</si>
  <si>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</si>
  <si>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</si>
  <si>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</si>
  <si>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</si>
  <si>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</si>
  <si>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</si>
  <si>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</si>
  <si>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</si>
  <si>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</si>
  <si>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</si>
  <si>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</si>
  <si>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</si>
  <si>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</si>
  <si>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</si>
  <si>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</si>
  <si>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</si>
  <si>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</si>
  <si>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</si>
  <si>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</si>
  <si>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</si>
  <si>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</si>
  <si>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</si>
  <si>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</si>
  <si>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</si>
  <si>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</si>
  <si>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</si>
  <si>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</si>
  <si>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</si>
  <si>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</si>
  <si>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</si>
  <si>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</si>
  <si>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</si>
  <si>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</si>
  <si>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</si>
  <si>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</si>
  <si>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</si>
  <si>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</si>
  <si>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</si>
  <si>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</si>
  <si>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</si>
  <si>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</si>
  <si>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</si>
  <si>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</si>
  <si>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</si>
  <si>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</si>
  <si>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</si>
  <si>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</si>
  <si>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</si>
  <si>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</si>
  <si>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</si>
  <si>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</si>
  <si>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</si>
  <si>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</si>
  <si>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</si>
  <si>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</si>
  <si>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</si>
  <si>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</si>
  <si>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</si>
  <si>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</si>
  <si>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</si>
  <si>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</si>
  <si>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</si>
  <si>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</si>
  <si>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</si>
  <si>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</si>
  <si>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</si>
  <si>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</si>
  <si>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</si>
  <si>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</si>
  <si>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</si>
  <si>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</si>
  <si>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</si>
  <si>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</si>
  <si>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</si>
  <si>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</si>
  <si>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</si>
  <si>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</si>
  <si>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</si>
  <si>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</si>
  <si>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</si>
  <si>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</si>
  <si>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</si>
  <si>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</si>
  <si>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</si>
  <si>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</si>
  <si>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</si>
  <si>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</si>
  <si>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</si>
  <si>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</si>
  <si>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</si>
  <si>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</si>
  <si>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</si>
  <si>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</si>
  <si>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</si>
  <si>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</si>
  <si>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</si>
  <si>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</si>
  <si>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</si>
  <si>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</si>
  <si>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</si>
  <si>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</si>
  <si>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</si>
  <si>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</si>
  <si>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</si>
  <si>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</si>
  <si>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</si>
  <si>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</si>
  <si>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</si>
  <si>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</si>
  <si>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</si>
  <si>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</si>
  <si>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</si>
  <si>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</si>
  <si>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</si>
  <si>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</si>
  <si>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</si>
  <si>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</si>
  <si>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</si>
  <si>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</si>
  <si>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</si>
  <si>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</si>
  <si>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</si>
  <si>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</si>
  <si>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</si>
  <si>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</si>
  <si>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</si>
  <si>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</si>
  <si>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</si>
  <si>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</si>
  <si>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</si>
  <si>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</si>
  <si>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</si>
  <si>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</si>
  <si>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</si>
  <si>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</si>
  <si>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</si>
  <si>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</si>
  <si>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</si>
  <si>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</si>
  <si>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</si>
  <si>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</si>
  <si>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</si>
  <si>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</si>
  <si>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</si>
  <si>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</si>
  <si>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</si>
  <si>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</si>
  <si>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</si>
  <si>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</si>
  <si>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</si>
  <si>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</si>
  <si>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</si>
  <si>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</si>
  <si>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</si>
  <si>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</si>
  <si>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</si>
  <si>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</si>
  <si>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</si>
  <si>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</si>
  <si>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</si>
  <si>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</si>
  <si>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</si>
  <si>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</si>
  <si>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</si>
  <si>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</si>
  <si>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</si>
  <si>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</si>
  <si>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</si>
  <si>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</si>
  <si>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</si>
  <si>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</si>
  <si>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</si>
  <si>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</si>
  <si>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</si>
  <si>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</si>
  <si>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</si>
  <si>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</si>
  <si>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</si>
  <si>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</si>
  <si>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</si>
  <si>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</si>
  <si>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</si>
  <si>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</si>
  <si>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</si>
  <si>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</si>
  <si>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</si>
  <si>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</si>
  <si>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</si>
  <si>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</si>
  <si>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</si>
  <si>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</si>
  <si>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</si>
  <si>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</si>
  <si>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</si>
  <si>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</si>
  <si>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</si>
  <si>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</si>
  <si>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</si>
  <si>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</si>
  <si>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</si>
  <si>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</si>
  <si>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</si>
  <si>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</si>
  <si>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</si>
  <si>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</si>
  <si>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</si>
  <si>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</si>
  <si>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</si>
  <si>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</si>
  <si>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</si>
  <si>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</si>
  <si>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</si>
  <si>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</si>
  <si>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</si>
  <si>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</si>
  <si>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</si>
  <si>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</si>
  <si>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</si>
  <si>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</si>
  <si>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</si>
  <si>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</si>
  <si>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</si>
  <si>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</si>
  <si>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</si>
  <si>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</si>
  <si>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</si>
  <si>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</si>
  <si>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</si>
  <si>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</si>
  <si>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</si>
  <si>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</si>
  <si>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</si>
  <si>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</si>
  <si>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</si>
  <si>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</si>
  <si>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</si>
  <si>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</si>
  <si>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</si>
  <si>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</si>
  <si>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</si>
  <si>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</si>
  <si>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</si>
  <si>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</si>
  <si>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</si>
  <si>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</si>
  <si>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</si>
  <si>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</si>
  <si>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</si>
  <si>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</si>
  <si>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</si>
  <si>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</si>
  <si>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</si>
  <si>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</si>
  <si>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</si>
  <si>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</si>
  <si>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</si>
  <si>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</si>
  <si>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</si>
  <si>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</si>
  <si>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</si>
  <si>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</si>
  <si>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</si>
  <si>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</si>
  <si>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</si>
  <si>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</si>
  <si>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</si>
  <si>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</si>
  <si>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</si>
  <si>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</si>
  <si>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</si>
  <si>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</si>
  <si>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</si>
  <si>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</si>
  <si>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</si>
  <si>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</si>
  <si>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</si>
  <si>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</si>
  <si>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</si>
  <si>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</si>
  <si>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</si>
  <si>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</si>
  <si>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</si>
  <si>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</si>
  <si>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</si>
  <si>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</si>
  <si>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</si>
  <si>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</si>
  <si>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</si>
  <si>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</si>
  <si>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</si>
  <si>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</si>
  <si>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</si>
  <si>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</si>
  <si>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</si>
  <si>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</si>
  <si>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</si>
  <si>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</si>
  <si>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</si>
  <si>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</si>
  <si>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</si>
  <si>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</si>
  <si>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</si>
  <si>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</si>
  <si>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</si>
  <si>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</si>
  <si>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</si>
  <si>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</si>
  <si>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</si>
  <si>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</si>
  <si>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</si>
  <si>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</si>
  <si>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</si>
  <si>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</si>
  <si>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</si>
  <si>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</si>
  <si>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</si>
  <si>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</si>
  <si>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</si>
  <si>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</si>
  <si>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</si>
  <si>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</si>
  <si>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</si>
  <si>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</si>
  <si>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</si>
  <si>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</si>
  <si>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</si>
  <si>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</si>
  <si>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</si>
  <si>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</si>
  <si>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</si>
  <si>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</si>
  <si>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</si>
  <si>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</si>
  <si>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</si>
  <si>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</si>
  <si>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</si>
  <si>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</si>
  <si>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</si>
  <si>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</si>
  <si>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</si>
  <si>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</si>
  <si>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</si>
  <si>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</si>
  <si>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</si>
  <si>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</si>
  <si>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</si>
  <si>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</si>
  <si>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</si>
  <si>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</si>
  <si>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</si>
  <si>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</si>
  <si>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</si>
  <si>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</si>
  <si>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</si>
  <si>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</si>
  <si>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</si>
  <si>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</si>
  <si>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</si>
  <si>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</si>
  <si>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</si>
  <si>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</si>
  <si>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</si>
  <si>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</si>
  <si>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</si>
  <si>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</si>
  <si>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</si>
  <si>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</si>
  <si>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</si>
  <si>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</si>
  <si>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</si>
  <si>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</si>
  <si>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</si>
  <si>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</si>
  <si>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</si>
  <si>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</si>
  <si>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</si>
  <si>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</si>
  <si>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</si>
  <si>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</si>
  <si>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</si>
  <si>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</si>
  <si>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</si>
  <si>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</si>
  <si>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</si>
  <si>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</si>
  <si>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</si>
  <si>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</si>
  <si>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</si>
  <si>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</si>
  <si>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</si>
  <si>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</si>
  <si>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</si>
  <si>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</si>
  <si>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</si>
  <si>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</si>
  <si>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</si>
  <si>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</si>
  <si>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</si>
  <si>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</si>
  <si>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</si>
  <si>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</si>
  <si>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</si>
  <si>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</si>
  <si>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</si>
  <si>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</si>
  <si>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</si>
  <si>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</si>
  <si>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</si>
  <si>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</si>
  <si>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</si>
  <si>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</si>
  <si>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</si>
  <si>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</si>
  <si>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</si>
  <si>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</si>
  <si>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</si>
  <si>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</si>
  <si>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</si>
  <si>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</si>
  <si>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</si>
  <si>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</si>
  <si>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</si>
  <si>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</si>
  <si>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</si>
  <si>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</si>
  <si>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</si>
  <si>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</si>
  <si>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</si>
  <si>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</si>
  <si>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</si>
  <si>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</si>
  <si>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</si>
  <si>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</si>
  <si>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</si>
  <si>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</si>
  <si>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</si>
  <si>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</si>
  <si>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</si>
  <si>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</si>
  <si>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</si>
  <si>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</si>
  <si>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</si>
  <si>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</si>
  <si>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</si>
  <si>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</si>
  <si>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</si>
  <si>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</si>
  <si>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</si>
  <si>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</si>
  <si>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</si>
  <si>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</si>
  <si>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</si>
  <si>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</si>
  <si>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</si>
  <si>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</si>
  <si>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</si>
  <si>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</si>
  <si>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</si>
  <si>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</si>
  <si>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</si>
  <si>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</si>
  <si>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</si>
  <si>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</si>
  <si>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</si>
  <si>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</si>
  <si>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</si>
  <si>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</si>
  <si>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</si>
  <si>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</si>
  <si>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</si>
  <si>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</si>
  <si>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</si>
  <si>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</si>
  <si>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</si>
  <si>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</si>
  <si>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</si>
  <si>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</si>
  <si>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</si>
  <si>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</si>
  <si>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</si>
  <si>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</si>
  <si>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</si>
  <si>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</si>
  <si>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</si>
  <si>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</si>
  <si>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</si>
  <si>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</si>
  <si>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</si>
  <si>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</si>
  <si>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</si>
  <si>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</si>
  <si>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</si>
  <si>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</si>
  <si>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</si>
  <si>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</si>
  <si>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</si>
  <si>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</si>
  <si>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</si>
  <si>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</si>
  <si>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</si>
  <si>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</si>
  <si>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</si>
  <si>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</si>
  <si>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</si>
  <si>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</si>
  <si>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</si>
  <si>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</si>
  <si>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</si>
  <si>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</si>
  <si>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</si>
  <si>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</si>
  <si>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</si>
  <si>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</si>
  <si>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</si>
  <si>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</si>
  <si>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</si>
  <si>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</si>
  <si>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</si>
  <si>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</si>
  <si>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</si>
  <si>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</si>
  <si>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</si>
  <si>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</si>
  <si>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</si>
  <si>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</si>
  <si>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</si>
  <si>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</si>
  <si>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</si>
  <si>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</si>
  <si>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</si>
  <si>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</si>
  <si>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</si>
  <si>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</si>
  <si>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</si>
  <si>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</si>
  <si>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</si>
  <si>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</si>
  <si>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</si>
  <si>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</si>
  <si>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</si>
  <si>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</si>
  <si>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</si>
  <si>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</si>
  <si>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</si>
  <si>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</si>
  <si>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</si>
  <si>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</si>
  <si>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</si>
  <si>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</si>
  <si>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</si>
  <si>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</si>
  <si>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</si>
  <si>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</si>
  <si>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</si>
  <si>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</si>
  <si>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</si>
  <si>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</si>
  <si>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</si>
  <si>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</si>
  <si>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</si>
  <si>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</si>
  <si>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</si>
  <si>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</si>
  <si>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</si>
  <si>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</si>
  <si>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</si>
  <si>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</si>
  <si>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</si>
  <si>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</si>
  <si>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</si>
  <si>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</si>
  <si>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</si>
  <si>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</si>
  <si>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</si>
  <si>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</si>
  <si>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</si>
  <si>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</si>
  <si>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</si>
  <si>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</si>
  <si>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</si>
  <si>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</si>
  <si>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</si>
  <si>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</si>
  <si>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</si>
  <si>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</si>
  <si>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</si>
  <si>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</si>
  <si>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</si>
  <si>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</si>
  <si>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</si>
  <si>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</si>
  <si>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</si>
  <si>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</si>
  <si>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</si>
  <si>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</si>
  <si>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</si>
  <si>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</si>
  <si>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</si>
  <si>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</si>
  <si>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</si>
  <si>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</si>
  <si>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</si>
  <si>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</si>
  <si>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</si>
  <si>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</si>
  <si>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</si>
  <si>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</si>
  <si>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</si>
  <si>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</si>
  <si>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</si>
  <si>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</si>
  <si>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</si>
  <si>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</si>
  <si>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</si>
  <si>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</si>
  <si>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</si>
  <si>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</si>
  <si>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</si>
  <si>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</si>
  <si>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</si>
  <si>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</si>
  <si>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</si>
  <si>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</si>
  <si>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</si>
  <si>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</si>
  <si>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</si>
  <si>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</si>
  <si>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</si>
  <si>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</si>
  <si>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</si>
  <si>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</si>
  <si>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</si>
  <si>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</si>
  <si>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</si>
  <si>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</si>
  <si>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</si>
  <si>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</si>
  <si>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</si>
  <si>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</si>
  <si>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</si>
  <si>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</si>
  <si>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</si>
  <si>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</si>
  <si>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</si>
  <si>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</si>
  <si>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</si>
  <si>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</si>
  <si>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</si>
  <si>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</si>
  <si>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</si>
  <si>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</si>
  <si>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</si>
  <si>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</si>
  <si>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</si>
  <si>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</si>
  <si>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</si>
  <si>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</si>
  <si>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</si>
  <si>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</si>
  <si>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</si>
  <si>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</si>
  <si>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</si>
  <si>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</si>
  <si>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</si>
  <si>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</si>
  <si>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</si>
  <si>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</si>
  <si>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</si>
  <si>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</si>
  <si>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</si>
  <si>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</si>
  <si>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</si>
  <si>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</si>
  <si>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</si>
  <si>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</si>
  <si>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</si>
  <si>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</si>
  <si>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</si>
  <si>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</si>
  <si>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</si>
  <si>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</si>
  <si>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</si>
  <si>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</si>
  <si>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</si>
  <si>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</si>
  <si>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</si>
  <si>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</si>
  <si>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</si>
  <si>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</si>
  <si>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</si>
  <si>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</si>
  <si>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</si>
  <si>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</si>
  <si>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</si>
  <si>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</si>
  <si>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</si>
  <si>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</si>
  <si>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</si>
  <si>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</si>
  <si>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</si>
  <si>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</si>
  <si>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</si>
  <si>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</si>
  <si>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</si>
  <si>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</si>
  <si>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</si>
  <si>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</si>
  <si>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</si>
  <si>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</si>
  <si>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</si>
  <si>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</si>
  <si>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</si>
  <si>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</si>
  <si>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</si>
  <si>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</si>
  <si>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</si>
  <si>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</si>
  <si>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</si>
  <si>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</si>
  <si>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</si>
  <si>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</si>
  <si>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</si>
  <si>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</si>
  <si>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</si>
  <si>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</si>
  <si>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</si>
  <si>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</si>
  <si>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</si>
  <si>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</si>
  <si>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</si>
  <si>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</si>
  <si>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</si>
  <si>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</si>
  <si>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</si>
  <si>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</si>
  <si>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</si>
  <si>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</si>
  <si>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</si>
  <si>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</si>
  <si>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</si>
  <si>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</si>
  <si>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</si>
  <si>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</si>
  <si>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</si>
  <si>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</si>
  <si>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</si>
  <si>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</si>
  <si>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</si>
  <si>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</si>
  <si>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</si>
  <si>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</si>
  <si>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</si>
  <si>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</si>
  <si>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</si>
  <si>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</si>
  <si>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</si>
  <si>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</si>
  <si>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</si>
  <si>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</si>
  <si>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</si>
  <si>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</si>
  <si>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</si>
  <si>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</si>
  <si>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</si>
  <si>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</si>
  <si>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</si>
  <si>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</si>
  <si>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</si>
  <si>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</si>
  <si>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</si>
  <si>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</si>
  <si>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</si>
  <si>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</si>
  <si>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</si>
  <si>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</si>
  <si>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</si>
  <si>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</si>
  <si>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</si>
  <si>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</si>
  <si>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</si>
  <si>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</si>
  <si>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</si>
  <si>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</si>
  <si>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</si>
  <si>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</si>
  <si>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</si>
  <si>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</si>
  <si>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</si>
  <si>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</si>
  <si>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</si>
  <si>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</si>
  <si>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</si>
  <si>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</si>
  <si>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</si>
  <si>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</si>
  <si>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</si>
  <si>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</si>
  <si>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</si>
  <si>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</si>
  <si>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</si>
  <si>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</si>
  <si>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</si>
  <si>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</si>
  <si>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</si>
  <si>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</si>
  <si>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</si>
  <si>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</si>
  <si>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</si>
  <si>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</si>
  <si>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</si>
  <si>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</si>
  <si>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</si>
  <si>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</si>
  <si>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</si>
  <si>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</si>
  <si>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</si>
  <si>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</si>
  <si>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</si>
  <si>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</si>
  <si>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</si>
  <si>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</si>
  <si>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</si>
  <si>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</si>
  <si>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</si>
  <si>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</si>
  <si>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</si>
  <si>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</si>
  <si>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</si>
  <si>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</si>
  <si>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</si>
  <si>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</si>
  <si>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</si>
  <si>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</si>
  <si>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</si>
  <si>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</si>
  <si>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</si>
  <si>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</si>
  <si>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</si>
  <si>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</si>
  <si>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</si>
  <si>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</si>
  <si>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</si>
  <si>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</si>
  <si>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</si>
  <si>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</si>
  <si>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</si>
  <si>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</si>
  <si>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</si>
  <si>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</si>
  <si>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</si>
  <si>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</si>
  <si>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</si>
  <si>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</si>
  <si>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</si>
  <si>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</si>
  <si>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</si>
  <si>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</si>
  <si>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</si>
  <si>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</si>
  <si>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</si>
  <si>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</si>
  <si>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</si>
  <si>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</si>
  <si>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</si>
  <si>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</si>
  <si>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</si>
  <si>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</si>
  <si>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</si>
  <si>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</si>
  <si>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</si>
  <si>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</si>
  <si>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</si>
  <si>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</si>
  <si>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</si>
  <si>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</si>
  <si>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</si>
  <si>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</si>
  <si>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</si>
  <si>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</si>
  <si>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</si>
  <si>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</si>
  <si>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</si>
  <si>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</si>
  <si>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</si>
  <si>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</si>
  <si>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</si>
  <si>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</si>
  <si>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</si>
  <si>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</si>
  <si>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</si>
  <si>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</si>
  <si>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</si>
  <si>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</si>
  <si>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</si>
  <si>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</si>
  <si>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</si>
  <si>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</si>
  <si>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</si>
  <si>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</si>
  <si>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</si>
  <si>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</si>
  <si>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</si>
  <si>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</si>
  <si>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</si>
  <si>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</si>
  <si>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</si>
  <si>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</si>
  <si>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</si>
  <si>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</si>
  <si>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</si>
  <si>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</si>
  <si>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</si>
  <si>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</si>
  <si>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</si>
  <si>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</si>
  <si>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</si>
  <si>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</si>
  <si>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</si>
  <si>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</si>
  <si>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</si>
  <si>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</si>
  <si>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</si>
  <si>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</si>
  <si>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</si>
  <si>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</si>
  <si>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</si>
  <si>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</si>
  <si>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</si>
  <si>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</si>
  <si>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</si>
  <si>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</si>
  <si>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</si>
  <si>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</si>
  <si>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</si>
  <si>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</si>
  <si>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</si>
  <si>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</si>
  <si>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</si>
  <si>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</si>
  <si>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</si>
  <si>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</si>
  <si>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</si>
  <si>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</si>
  <si>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</si>
  <si>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</si>
  <si>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</si>
  <si>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</si>
  <si>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</si>
  <si>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</si>
  <si>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</si>
  <si>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</si>
  <si>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</si>
  <si>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</si>
  <si>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</si>
  <si>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</si>
  <si>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</si>
  <si>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</si>
  <si>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</si>
  <si>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</si>
  <si>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</si>
  <si>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</si>
  <si>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</si>
  <si>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</si>
  <si>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</si>
  <si>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</si>
  <si>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</si>
  <si>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</si>
  <si>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</si>
  <si>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</si>
  <si>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</si>
  <si>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</si>
  <si>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</si>
  <si>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</si>
  <si>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</si>
  <si>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</si>
  <si>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</si>
  <si>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</si>
  <si>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</si>
  <si>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</si>
  <si>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</si>
  <si>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</si>
  <si>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</si>
  <si>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</si>
  <si>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</si>
  <si>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</si>
  <si>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</si>
  <si>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</si>
  <si>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</si>
  <si>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</si>
  <si>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</si>
  <si>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</si>
  <si>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</si>
  <si>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</si>
  <si>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</si>
  <si>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</si>
  <si>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</si>
  <si>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</si>
  <si>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</si>
  <si>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</si>
  <si>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</si>
  <si>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</si>
  <si>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</si>
  <si>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</si>
  <si>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</si>
  <si>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</si>
  <si>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</si>
  <si>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</si>
  <si>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</si>
  <si>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</si>
  <si>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</si>
  <si>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</si>
  <si>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</si>
  <si>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</si>
  <si>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</si>
  <si>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</si>
  <si>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</si>
  <si>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</si>
  <si>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</si>
  <si>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</si>
  <si>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</si>
  <si>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</si>
  <si>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</si>
  <si>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</si>
  <si>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</si>
  <si>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</si>
  <si>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</si>
  <si>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</si>
  <si>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</si>
  <si>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</si>
  <si>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</si>
  <si>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</si>
  <si>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</si>
  <si>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</si>
  <si>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</si>
  <si>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</si>
  <si>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</si>
  <si>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</si>
  <si>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</si>
  <si>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</si>
  <si>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</si>
  <si>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</si>
  <si>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</si>
  <si>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</si>
  <si>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</si>
  <si>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</si>
  <si>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</si>
  <si>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</si>
  <si>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</si>
  <si>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</si>
  <si>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</si>
  <si>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</si>
  <si>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</si>
  <si>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</si>
  <si>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</si>
  <si>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</si>
  <si>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</si>
  <si>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</si>
  <si>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</si>
  <si>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</si>
  <si>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</si>
  <si>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</si>
  <si>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</si>
  <si>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</si>
  <si>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</si>
  <si>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</si>
  <si>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</si>
  <si>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</si>
  <si>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</si>
  <si>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</si>
  <si>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</si>
  <si>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</si>
  <si>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</si>
  <si>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</si>
  <si>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</si>
  <si>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</si>
  <si>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</si>
  <si>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</si>
  <si>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</si>
  <si>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</si>
  <si>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</si>
  <si>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</si>
  <si>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</si>
  <si>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</si>
  <si>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</si>
  <si>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</si>
  <si>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</si>
  <si>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</si>
  <si>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</si>
  <si>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</si>
  <si>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</si>
  <si>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</si>
  <si>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</si>
  <si>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</si>
  <si>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</si>
  <si>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</si>
  <si>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</si>
  <si>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</si>
  <si>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</si>
  <si>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</si>
  <si>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</si>
  <si>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</si>
  <si>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</si>
  <si>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</si>
  <si>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</si>
  <si>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</si>
  <si>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</si>
  <si>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</si>
  <si>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</si>
  <si>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</si>
  <si>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</si>
  <si>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</si>
  <si>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</si>
  <si>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</si>
  <si>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</si>
  <si>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</si>
  <si>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</si>
  <si>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</si>
  <si>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</si>
  <si>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</si>
  <si>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</si>
  <si>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</si>
  <si>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</si>
  <si>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</si>
  <si>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</si>
  <si>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</si>
  <si>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</si>
  <si>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</si>
  <si>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</si>
  <si>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</si>
  <si>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</si>
  <si>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</si>
  <si>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</si>
  <si>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</si>
  <si>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</si>
  <si>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</si>
  <si>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</si>
  <si>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</si>
  <si>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</si>
  <si>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</si>
  <si>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</si>
  <si>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</si>
  <si>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</si>
  <si>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</si>
  <si>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</si>
  <si>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</si>
  <si>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</si>
  <si>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</si>
  <si>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</si>
  <si>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</si>
  <si>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</si>
  <si>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</si>
  <si>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</si>
  <si>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</si>
  <si>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</si>
  <si>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</si>
  <si>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</si>
  <si>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</si>
  <si>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</si>
  <si>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</si>
  <si>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</si>
  <si>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</si>
  <si>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</si>
  <si>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</si>
  <si>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</si>
  <si>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</si>
  <si>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</si>
  <si>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</si>
  <si>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</si>
  <si>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</si>
  <si>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</si>
  <si>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</si>
  <si>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</si>
  <si>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</si>
  <si>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</si>
  <si>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</si>
  <si>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</si>
  <si>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</si>
  <si>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</si>
  <si>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</si>
  <si>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</si>
  <si>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</si>
  <si>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</si>
  <si>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</si>
  <si>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</si>
  <si>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</si>
  <si>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</si>
  <si>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</si>
  <si>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</si>
  <si>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</si>
  <si>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</si>
  <si>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</si>
  <si>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</si>
  <si>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</si>
  <si>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</si>
  <si>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</si>
  <si>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</si>
  <si>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</si>
  <si>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</si>
  <si>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</si>
  <si>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</si>
  <si>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</si>
  <si>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</si>
  <si>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</si>
  <si>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</si>
  <si>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</si>
  <si>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</si>
  <si>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</si>
  <si>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</si>
  <si>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</si>
  <si>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</si>
  <si>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</si>
  <si>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</si>
  <si>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</si>
  <si>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</si>
  <si>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</si>
  <si>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</si>
  <si>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</si>
  <si>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</si>
  <si>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</si>
  <si>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</si>
  <si>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</si>
  <si>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</si>
  <si>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</si>
  <si>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</si>
  <si>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</si>
  <si>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</si>
  <si>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</si>
  <si>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</si>
  <si>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</si>
  <si>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</si>
  <si>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</si>
  <si>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</si>
  <si>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</si>
  <si>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</si>
  <si>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</si>
  <si>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</si>
  <si>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</si>
  <si>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</si>
  <si>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</si>
  <si>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</si>
  <si>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</si>
  <si>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</si>
  <si>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</si>
  <si>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</si>
  <si>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</si>
  <si>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</si>
  <si>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</si>
  <si>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</si>
  <si>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</si>
  <si>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</si>
  <si>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</si>
  <si>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</si>
  <si>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</si>
  <si>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</si>
  <si>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</si>
  <si>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</si>
  <si>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</si>
  <si>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</si>
  <si>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</si>
  <si>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</si>
  <si>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</si>
  <si>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</si>
  <si>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</si>
  <si>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</si>
  <si>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</si>
  <si>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</si>
  <si>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</si>
  <si>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</si>
  <si>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</si>
  <si>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</si>
  <si>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</si>
  <si>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</si>
  <si>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</si>
  <si>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</si>
  <si>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</si>
  <si>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</si>
  <si>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</si>
  <si>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</si>
  <si>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</si>
  <si>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</si>
  <si>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</si>
  <si>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</si>
  <si>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</si>
  <si>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</si>
  <si>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</si>
  <si>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</si>
  <si>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</si>
  <si>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</si>
  <si>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</si>
  <si>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</si>
  <si>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</si>
  <si>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</si>
  <si>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</si>
  <si>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</si>
  <si>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</si>
  <si>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</si>
  <si>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</si>
  <si>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</si>
  <si>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</si>
  <si>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</si>
  <si>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</si>
  <si>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</si>
  <si>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</si>
  <si>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</si>
  <si>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</si>
  <si>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</si>
  <si>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</si>
  <si>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</si>
  <si>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</si>
  <si>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</si>
  <si>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</si>
  <si>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</si>
  <si>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</si>
  <si>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</si>
  <si>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</si>
  <si>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</si>
  <si>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</si>
  <si>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</si>
  <si>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</si>
  <si>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</si>
  <si>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</si>
  <si>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</si>
  <si>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</si>
  <si>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</si>
  <si>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</si>
  <si>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</si>
  <si>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</si>
  <si>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</si>
  <si>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</si>
  <si>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</si>
  <si>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</si>
  <si>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</si>
  <si>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</si>
  <si>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</si>
  <si>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</si>
  <si>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</si>
  <si>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</si>
  <si>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</si>
  <si>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</si>
  <si>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</si>
  <si>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</si>
  <si>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</si>
  <si>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</si>
  <si>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</si>
  <si>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</si>
  <si>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</si>
  <si>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</si>
  <si>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</si>
  <si>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</si>
  <si>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</si>
  <si>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</si>
  <si>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</si>
  <si>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</si>
  <si>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</si>
  <si>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</si>
  <si>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</si>
  <si>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</si>
  <si>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</si>
  <si>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</si>
  <si>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</si>
  <si>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</si>
  <si>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</si>
  <si>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</si>
  <si>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</si>
  <si>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</si>
  <si>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</si>
  <si>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</si>
  <si>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</si>
  <si>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</si>
  <si>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</si>
  <si>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</si>
  <si>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</si>
  <si>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</si>
  <si>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</si>
  <si>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</si>
  <si>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</si>
  <si>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</si>
  <si>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</si>
  <si>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</si>
  <si>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</si>
  <si>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</si>
  <si>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</si>
  <si>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</si>
  <si>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</si>
  <si>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</si>
  <si>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</si>
  <si>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</si>
  <si>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</si>
  <si>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</si>
  <si>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</si>
  <si>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</si>
  <si>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</si>
  <si>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</si>
  <si>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</si>
  <si>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</si>
  <si>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</si>
  <si>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</si>
  <si>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</si>
  <si>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</si>
  <si>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</si>
  <si>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</si>
  <si>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</si>
  <si>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</si>
  <si>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</si>
  <si>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</si>
  <si>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</si>
  <si>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</si>
  <si>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</si>
  <si>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</si>
  <si>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</si>
  <si>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</si>
  <si>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</si>
  <si>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</si>
  <si>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</si>
  <si>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</si>
  <si>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</si>
  <si>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</si>
  <si>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</si>
  <si>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</si>
  <si>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</si>
  <si>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</si>
  <si>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</si>
  <si>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</si>
  <si>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</si>
  <si>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</si>
  <si>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</si>
  <si>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</si>
  <si>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</si>
  <si>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</si>
  <si>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</si>
  <si>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</si>
  <si>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</si>
  <si>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</si>
  <si>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</si>
  <si>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</si>
  <si>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</si>
  <si>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</si>
  <si>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</si>
  <si>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</si>
  <si>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</si>
  <si>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</si>
  <si>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</si>
  <si>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</si>
  <si>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</si>
  <si>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</si>
  <si>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</si>
  <si>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</si>
  <si>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</si>
  <si>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</si>
  <si>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</si>
  <si>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</si>
  <si>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</si>
  <si>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</si>
  <si>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</si>
  <si>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</si>
  <si>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</si>
  <si>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</si>
  <si>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</si>
  <si>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</si>
  <si>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</si>
  <si>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</si>
  <si>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</si>
  <si>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</si>
  <si>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</si>
  <si>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</si>
  <si>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</si>
  <si>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</si>
  <si>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</si>
  <si>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</si>
  <si>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</si>
  <si>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</si>
  <si>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</si>
  <si>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</si>
  <si>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</si>
  <si>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</si>
  <si>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</si>
  <si>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</si>
  <si>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</si>
  <si>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</si>
  <si>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</si>
  <si>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</si>
  <si>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</si>
  <si>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</si>
  <si>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</si>
  <si>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</si>
  <si>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</si>
  <si>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</si>
  <si>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</si>
  <si>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</si>
  <si>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</si>
  <si>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</si>
  <si>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</si>
  <si>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</si>
  <si>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</si>
  <si>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</si>
  <si>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</si>
  <si>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</si>
  <si>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</si>
  <si>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</si>
  <si>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</si>
  <si>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</si>
  <si>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</si>
  <si>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</si>
  <si>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</si>
  <si>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</si>
  <si>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</si>
  <si>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</si>
  <si>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</si>
  <si>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</si>
  <si>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</si>
  <si>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</si>
  <si>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</si>
  <si>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</si>
  <si>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</si>
  <si>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</si>
  <si>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</si>
  <si>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</si>
  <si>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</si>
  <si>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</si>
  <si>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</si>
  <si>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</si>
  <si>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</si>
  <si>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</si>
  <si>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</si>
  <si>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</si>
  <si>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</si>
  <si>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</si>
  <si>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</si>
  <si>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</si>
  <si>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</si>
  <si>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</si>
  <si>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</si>
  <si>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</si>
  <si>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</si>
  <si>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</si>
  <si>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</si>
  <si>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</si>
  <si>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</si>
  <si>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</si>
  <si>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</si>
  <si>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</si>
  <si>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</si>
  <si>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</si>
  <si>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</si>
  <si>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</si>
  <si>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</si>
  <si>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</si>
  <si>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</si>
  <si>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</si>
  <si>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</si>
  <si>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</si>
  <si>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</si>
  <si>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</si>
  <si>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</si>
  <si>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</si>
  <si>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</si>
  <si>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</si>
  <si>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</si>
  <si>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</si>
  <si>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</si>
  <si>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</si>
  <si>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</si>
  <si>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</si>
  <si>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</si>
  <si>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</si>
  <si>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</si>
  <si>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</si>
  <si>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</si>
  <si>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</si>
  <si>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</si>
  <si>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</si>
  <si>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</si>
  <si>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</si>
  <si>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</si>
  <si>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</si>
  <si>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</si>
  <si>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</si>
  <si>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</si>
  <si>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</si>
  <si>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</si>
  <si>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</si>
  <si>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</si>
  <si>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</si>
  <si>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</si>
  <si>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</si>
  <si>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</si>
  <si>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</si>
  <si>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</si>
  <si>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</si>
  <si>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</si>
  <si>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</si>
  <si>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</si>
  <si>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</si>
  <si>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</si>
  <si>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</si>
  <si>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</si>
  <si>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</si>
  <si>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</si>
  <si>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</si>
  <si>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</si>
  <si>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</si>
  <si>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</si>
  <si>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</si>
  <si>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</si>
  <si>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</si>
  <si>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</si>
  <si>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</si>
  <si>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</si>
  <si>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</si>
  <si>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</si>
  <si>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</si>
  <si>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</si>
  <si>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</si>
  <si>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</si>
  <si>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</si>
  <si>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</si>
  <si>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</si>
  <si>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</si>
  <si>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</si>
  <si>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</si>
  <si>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</si>
  <si>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</si>
  <si>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</si>
  <si>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</si>
  <si>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</si>
  <si>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</si>
  <si>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</si>
  <si>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</si>
  <si>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</si>
  <si>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</si>
  <si>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</si>
  <si>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</si>
  <si>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</si>
  <si>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</si>
  <si>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</si>
  <si>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</si>
  <si>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</si>
  <si>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</si>
  <si>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</si>
  <si>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</si>
  <si>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</si>
  <si>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</si>
  <si>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</si>
  <si>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</si>
  <si>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</si>
  <si>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</si>
  <si>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</si>
  <si>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</si>
  <si>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</si>
  <si>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</si>
  <si>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</si>
  <si>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</si>
  <si>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</si>
  <si>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</si>
  <si>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</si>
  <si>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</si>
  <si>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</si>
  <si>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</si>
  <si>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</si>
  <si>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</si>
  <si>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</si>
  <si>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</si>
  <si>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</si>
  <si>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</si>
  <si>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</si>
  <si>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</si>
  <si>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</si>
  <si>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</si>
  <si>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</si>
  <si>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</si>
  <si>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</si>
  <si>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</si>
  <si>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</si>
  <si>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</si>
  <si>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</si>
  <si>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</si>
  <si>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</si>
  <si>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</si>
  <si>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</si>
  <si>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</si>
  <si>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</si>
  <si>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</si>
  <si>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</si>
  <si>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</si>
  <si>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</si>
  <si>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</si>
  <si>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</si>
  <si>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</si>
  <si>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</si>
  <si>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</si>
  <si>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</si>
  <si>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</si>
  <si>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</si>
  <si>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</si>
  <si>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</si>
  <si>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</si>
  <si>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</si>
  <si>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</si>
  <si>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</si>
  <si>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</si>
  <si>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</si>
  <si>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</si>
  <si>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</si>
  <si>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</si>
  <si>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</si>
  <si>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</si>
  <si>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</si>
  <si>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</si>
  <si>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</si>
  <si>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</si>
  <si>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</si>
  <si>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</si>
  <si>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</si>
  <si>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</si>
  <si>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</si>
  <si>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</si>
  <si>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</si>
  <si>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</si>
  <si>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</si>
  <si>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</si>
  <si>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</si>
  <si>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</si>
  <si>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</si>
  <si>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</si>
  <si>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</si>
  <si>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</si>
  <si>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</si>
  <si>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</si>
  <si>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</si>
  <si>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</si>
  <si>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</si>
  <si>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</si>
  <si>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</si>
  <si>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</si>
  <si>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</si>
  <si>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</si>
  <si>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</si>
  <si>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</si>
  <si>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</si>
  <si>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</si>
  <si>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</si>
  <si>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</si>
  <si>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</si>
  <si>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</si>
  <si>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</si>
  <si>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</si>
  <si>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</si>
  <si>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</si>
  <si>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</si>
  <si>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</si>
  <si>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</si>
  <si>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</si>
  <si>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</si>
  <si>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</si>
  <si>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</si>
  <si>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</si>
  <si>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</si>
  <si>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</si>
  <si>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</si>
  <si>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</si>
  <si>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</si>
  <si>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</si>
  <si>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</si>
  <si>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</si>
  <si>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</si>
  <si>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</si>
  <si>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</si>
  <si>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</si>
  <si>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</si>
  <si>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</si>
  <si>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</si>
  <si>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</si>
  <si>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</si>
  <si>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</si>
  <si>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</si>
  <si>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</si>
  <si>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</si>
  <si>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</si>
  <si>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</si>
  <si>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</si>
  <si>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</si>
  <si>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</si>
  <si>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</si>
  <si>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</si>
  <si>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</si>
  <si>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</si>
  <si>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</si>
  <si>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</si>
  <si>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</si>
  <si>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</si>
  <si>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</si>
  <si>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</si>
  <si>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</si>
  <si>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</si>
  <si>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</si>
  <si>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</si>
  <si>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</si>
  <si>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</si>
  <si>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</si>
  <si>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</si>
  <si>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</si>
  <si>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</si>
  <si>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</si>
  <si>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</si>
  <si>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</si>
  <si>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</si>
  <si>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</si>
  <si>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</si>
  <si>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</si>
  <si>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</si>
  <si>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</si>
  <si>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</si>
  <si>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</si>
  <si>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</si>
  <si>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</si>
  <si>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</si>
  <si>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</si>
  <si>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</si>
  <si>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</si>
  <si>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</si>
  <si>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</si>
  <si>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</si>
  <si>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</si>
  <si>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</si>
  <si>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</si>
  <si>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</si>
  <si>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</si>
  <si>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</si>
  <si>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</si>
  <si>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</si>
  <si>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</si>
  <si>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</si>
  <si>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</si>
  <si>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</si>
  <si>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</si>
  <si>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</si>
  <si>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</si>
  <si>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</si>
  <si>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</si>
  <si>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</si>
  <si>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</si>
  <si>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</si>
  <si>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</si>
  <si>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</si>
  <si>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</si>
  <si>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</si>
  <si>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</si>
  <si>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</si>
  <si>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</si>
  <si>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</si>
  <si>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</si>
  <si>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</si>
  <si>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</si>
  <si>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</si>
  <si>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</si>
  <si>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</si>
  <si>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</si>
  <si>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</si>
  <si>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</si>
  <si>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</si>
  <si>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</si>
  <si>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</si>
  <si>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</si>
  <si>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</si>
  <si>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</si>
  <si>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</si>
  <si>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</si>
  <si>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</si>
  <si>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</si>
  <si>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</si>
  <si>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</si>
  <si>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</si>
  <si>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</si>
  <si>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</si>
  <si>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</si>
  <si>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</si>
  <si>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</si>
  <si>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</si>
  <si>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</si>
  <si>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</si>
  <si>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</si>
  <si>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</si>
  <si>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</si>
  <si>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</si>
  <si>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</si>
  <si>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</si>
  <si>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</si>
  <si>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</si>
  <si>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</si>
  <si>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</si>
  <si>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</si>
  <si>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</si>
  <si>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</si>
  <si>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</si>
  <si>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</si>
  <si>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</si>
  <si>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</si>
  <si>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</si>
  <si>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</si>
  <si>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</si>
  <si>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</si>
  <si>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</si>
  <si>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</si>
  <si>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</si>
  <si>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</si>
  <si>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</si>
  <si>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</si>
  <si>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</si>
  <si>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</si>
  <si>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</si>
  <si>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</si>
  <si>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</si>
  <si>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</si>
  <si>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</si>
  <si>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</si>
  <si>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</si>
  <si>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</si>
  <si>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</si>
  <si>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</si>
  <si>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</si>
  <si>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</si>
  <si>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</si>
  <si>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</si>
  <si>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</si>
  <si>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</si>
  <si>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</si>
  <si>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</si>
  <si>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</si>
  <si>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</si>
  <si>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</si>
  <si>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</si>
  <si>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</si>
  <si>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</si>
  <si>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</si>
  <si>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</si>
  <si>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</si>
  <si>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</si>
  <si>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</si>
  <si>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</si>
  <si>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</si>
  <si>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</si>
  <si>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</si>
  <si>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</si>
  <si>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</si>
  <si>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</si>
  <si>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</si>
  <si>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</si>
  <si>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</si>
  <si>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</si>
  <si>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</si>
  <si>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</si>
  <si>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</si>
  <si>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</si>
  <si>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</si>
  <si>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</si>
  <si>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</si>
  <si>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</si>
  <si>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</si>
  <si>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</si>
  <si>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</si>
  <si>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</si>
  <si>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</si>
  <si>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</si>
  <si>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</si>
  <si>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</si>
  <si>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</si>
  <si>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</si>
  <si>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</si>
  <si>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</si>
  <si>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</si>
  <si>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</si>
  <si>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</si>
  <si>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</si>
  <si>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</si>
  <si>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</si>
  <si>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</si>
  <si>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</si>
  <si>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</si>
  <si>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</si>
  <si>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</si>
  <si>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</si>
  <si>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</si>
  <si>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</si>
  <si>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</si>
  <si>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</si>
  <si>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</si>
  <si>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</si>
  <si>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</si>
  <si>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</si>
  <si>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</si>
  <si>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</si>
  <si>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</si>
  <si>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</si>
  <si>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</si>
  <si>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</si>
  <si>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</si>
  <si>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</si>
  <si>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</si>
  <si>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</si>
  <si>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</si>
  <si>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</si>
  <si>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</si>
  <si>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</si>
  <si>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</si>
  <si>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</si>
  <si>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</si>
  <si>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</si>
  <si>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</si>
  <si>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</si>
  <si>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</si>
  <si>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</si>
  <si>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</si>
  <si>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</si>
  <si>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</si>
  <si>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</si>
  <si>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</si>
  <si>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</si>
  <si>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</si>
  <si>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</si>
  <si>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</si>
  <si>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</si>
  <si>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</si>
  <si>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</si>
  <si>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</si>
  <si>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</si>
  <si>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</si>
  <si>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</si>
  <si>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</si>
  <si>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</si>
  <si>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</si>
  <si>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</si>
  <si>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</si>
  <si>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</si>
  <si>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</si>
  <si>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</si>
  <si>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</si>
  <si>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</si>
  <si>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</si>
  <si>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</si>
  <si>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</si>
  <si>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</si>
  <si>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</si>
  <si>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</si>
  <si>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</si>
  <si>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</si>
  <si>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</si>
  <si>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</si>
  <si>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</si>
  <si>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</si>
  <si>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</si>
  <si>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</si>
  <si>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</si>
  <si>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</si>
  <si>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</si>
  <si>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</si>
  <si>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</si>
  <si>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</si>
  <si>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</si>
  <si>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</si>
  <si>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</si>
  <si>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</si>
  <si>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</si>
  <si>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</si>
  <si>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</si>
  <si>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</si>
  <si>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</si>
  <si>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</si>
  <si>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</si>
  <si>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</si>
  <si>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</si>
  <si>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</si>
  <si>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</si>
  <si>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</si>
  <si>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</si>
  <si>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</si>
  <si>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</si>
  <si>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</si>
  <si>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</si>
  <si>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</si>
  <si>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</si>
  <si>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</si>
  <si>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</si>
  <si>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</si>
  <si>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</si>
  <si>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</si>
  <si>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</si>
  <si>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</si>
  <si>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</si>
  <si>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</si>
  <si>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</si>
  <si>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</si>
  <si>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</si>
  <si>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</si>
  <si>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</si>
  <si>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</si>
  <si>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</si>
  <si>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</si>
  <si>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</si>
  <si>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</si>
  <si>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</si>
  <si>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</si>
  <si>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</si>
  <si>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</si>
  <si>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</si>
  <si>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</si>
  <si>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</si>
  <si>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</si>
  <si>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</si>
  <si>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</si>
  <si>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</si>
  <si>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</si>
  <si>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</si>
  <si>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</si>
  <si>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</si>
  <si>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</si>
  <si>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</si>
  <si>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</si>
  <si>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</si>
  <si>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</si>
  <si>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</si>
  <si>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</si>
  <si>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</si>
  <si>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</si>
  <si>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</si>
  <si>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</si>
  <si>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</si>
  <si>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</si>
  <si>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</si>
  <si>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</si>
  <si>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</si>
  <si>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</si>
  <si>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</si>
  <si>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</si>
  <si>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</si>
  <si>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</si>
  <si>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</si>
  <si>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</si>
  <si>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</si>
  <si>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</si>
  <si>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</si>
  <si>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</si>
  <si>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</si>
  <si>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</si>
  <si>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</si>
  <si>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</si>
  <si>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</si>
  <si>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</si>
  <si>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</si>
  <si>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</si>
  <si>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</si>
  <si>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</si>
  <si>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</si>
  <si>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</si>
  <si>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</si>
  <si>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</si>
  <si>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</si>
  <si>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</si>
  <si>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</si>
  <si>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</si>
  <si>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</si>
  <si>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</si>
  <si>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</si>
  <si>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</si>
  <si>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</si>
  <si>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</si>
  <si>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</si>
  <si>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</si>
  <si>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</si>
  <si>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</si>
  <si>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</si>
  <si>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</si>
  <si>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</si>
  <si>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</si>
  <si>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</si>
  <si>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</si>
  <si>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</si>
  <si>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</si>
  <si>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</si>
  <si>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</si>
  <si>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</si>
  <si>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</si>
  <si>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</si>
  <si>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</si>
  <si>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</si>
  <si>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</si>
  <si>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</si>
  <si>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</si>
  <si>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</si>
  <si>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</si>
  <si>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</si>
  <si>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</si>
  <si>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</si>
  <si>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</si>
  <si>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</si>
  <si>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</si>
  <si>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</si>
  <si>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</si>
  <si>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</si>
  <si>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</si>
  <si>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</si>
  <si>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</si>
  <si>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</si>
  <si>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</si>
  <si>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</si>
  <si>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</si>
  <si>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</si>
  <si>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</si>
  <si>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</si>
  <si>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</si>
  <si>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</si>
  <si>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</si>
  <si>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</si>
  <si>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</si>
  <si>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</si>
  <si>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</si>
  <si>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</si>
  <si>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</si>
  <si>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</si>
  <si>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</si>
  <si>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</si>
  <si>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</si>
  <si>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</si>
  <si>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</si>
  <si>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</si>
  <si>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</si>
  <si>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</si>
  <si>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</si>
  <si>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</si>
  <si>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</si>
  <si>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</si>
  <si>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</si>
  <si>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</si>
  <si>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</si>
  <si>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</si>
  <si>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</si>
  <si>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</si>
  <si>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</si>
  <si>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</si>
  <si>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</si>
  <si>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</si>
  <si>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</si>
  <si>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</si>
  <si>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</si>
  <si>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</si>
  <si>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</si>
  <si>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</si>
  <si>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</si>
  <si>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</si>
  <si>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</si>
  <si>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</si>
  <si>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</si>
  <si>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</si>
  <si>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</si>
  <si>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</si>
  <si>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</si>
  <si>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</si>
  <si>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</si>
  <si>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</si>
  <si>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</si>
  <si>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</si>
  <si>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</si>
  <si>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</si>
  <si>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</si>
  <si>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</si>
  <si>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</si>
  <si>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</si>
  <si>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</si>
  <si>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</si>
  <si>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</si>
  <si>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</si>
  <si>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</si>
  <si>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</si>
  <si>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</si>
  <si>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</si>
  <si>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</si>
  <si>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</si>
  <si>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</si>
  <si>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</si>
  <si>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</si>
  <si>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</si>
  <si>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</si>
  <si>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</si>
  <si>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</si>
  <si>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</si>
  <si>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</si>
  <si>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</si>
  <si>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</si>
  <si>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</si>
  <si>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</si>
  <si>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</si>
  <si>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</si>
  <si>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</si>
  <si>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</si>
  <si>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</si>
  <si>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</si>
  <si>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</si>
  <si>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</si>
  <si>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</si>
  <si>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</si>
  <si>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</si>
  <si>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</si>
  <si>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</si>
  <si>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</si>
  <si>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</si>
  <si>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</si>
  <si>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</si>
  <si>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</si>
  <si>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</si>
  <si>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</si>
  <si>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</si>
  <si>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</si>
  <si>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</si>
  <si>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</si>
  <si>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</si>
  <si>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</si>
  <si>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</si>
  <si>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</si>
  <si>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</si>
  <si>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</si>
  <si>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</si>
  <si>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</si>
  <si>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</si>
  <si>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</si>
  <si>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</si>
  <si>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</si>
  <si>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</si>
  <si>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</si>
  <si>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</si>
  <si>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</si>
  <si>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</si>
  <si>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</si>
  <si>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</si>
  <si>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</si>
  <si>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</si>
  <si>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</si>
  <si>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</si>
  <si>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</si>
  <si>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</si>
  <si>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</si>
  <si>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</si>
  <si>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</si>
  <si>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</si>
  <si>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</si>
  <si>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</si>
  <si>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</si>
  <si>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</si>
  <si>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</si>
  <si>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</si>
  <si>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</si>
  <si>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</si>
  <si>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</si>
  <si>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</si>
  <si>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</si>
  <si>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</si>
  <si>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</si>
  <si>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</si>
  <si>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</si>
  <si>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</si>
  <si>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</si>
  <si>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</si>
  <si>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</si>
  <si>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</si>
  <si>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</si>
  <si>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</si>
  <si>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</si>
  <si>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</si>
  <si>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</si>
  <si>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</si>
  <si>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</si>
  <si>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</si>
  <si>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</si>
  <si>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</si>
  <si>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</si>
  <si>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</si>
  <si>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</si>
  <si>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</si>
  <si>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</si>
  <si>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</si>
  <si>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</si>
  <si>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</si>
  <si>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</si>
  <si>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</si>
  <si>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</si>
  <si>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</si>
  <si>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</si>
  <si>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</si>
  <si>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</si>
  <si>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</si>
  <si>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</si>
  <si>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</si>
  <si>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</si>
  <si>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</si>
  <si>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</si>
  <si>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</si>
  <si>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</si>
  <si>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</si>
  <si>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</si>
  <si>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</si>
  <si>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</si>
  <si>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</si>
  <si>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</si>
  <si>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</si>
  <si>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</si>
  <si>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</si>
  <si>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</si>
  <si>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</si>
  <si>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</si>
  <si>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</si>
  <si>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</si>
  <si>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</si>
  <si>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</si>
  <si>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</si>
  <si>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</si>
  <si>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</si>
  <si>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</si>
  <si>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</si>
  <si>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</si>
  <si>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</si>
  <si>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</si>
  <si>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</si>
  <si>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</si>
  <si>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</si>
  <si>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</si>
  <si>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</si>
  <si>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</si>
  <si>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</si>
  <si>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</si>
  <si>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</si>
  <si>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</si>
  <si>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</si>
  <si>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</si>
  <si>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</si>
  <si>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</si>
  <si>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</si>
  <si>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</si>
  <si>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</si>
  <si>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</si>
  <si>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</si>
  <si>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</si>
  <si>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</si>
  <si>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</si>
  <si>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</si>
  <si>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</si>
  <si>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</si>
  <si>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</si>
  <si>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</si>
  <si>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</si>
  <si>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</si>
  <si>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</si>
  <si>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</si>
  <si>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</si>
  <si>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</si>
  <si>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</si>
  <si>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</si>
  <si>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</si>
  <si>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</si>
  <si>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</si>
  <si>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</si>
  <si>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</si>
  <si>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</si>
  <si>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</si>
  <si>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</si>
  <si>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</si>
  <si>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</si>
  <si>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</si>
  <si>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</si>
  <si>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</si>
  <si>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</si>
  <si>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</si>
  <si>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</si>
  <si>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</si>
  <si>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</si>
  <si>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</si>
  <si>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</si>
  <si>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</si>
  <si>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</si>
  <si>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</si>
  <si>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</si>
  <si>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</si>
  <si>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</si>
  <si>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</si>
  <si>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</si>
  <si>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</si>
  <si>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</si>
  <si>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</si>
  <si>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</si>
  <si>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</si>
  <si>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</si>
  <si>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</si>
  <si>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</si>
  <si>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</si>
  <si>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</si>
  <si>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</si>
  <si>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</si>
  <si>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</si>
  <si>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</si>
  <si>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</si>
  <si>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</si>
  <si>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</si>
  <si>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</si>
  <si>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</si>
  <si>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</si>
  <si>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</si>
  <si>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</si>
  <si>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</si>
  <si>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</si>
  <si>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</si>
  <si>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</si>
  <si>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</si>
  <si>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</si>
  <si>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</si>
  <si>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</si>
  <si>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</si>
  <si>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</si>
  <si>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</si>
  <si>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</si>
  <si>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</si>
  <si>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</si>
  <si>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</si>
  <si>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</si>
  <si>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</si>
  <si>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</si>
  <si>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</si>
  <si>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</si>
  <si>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</si>
  <si>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</si>
  <si>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</si>
  <si>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</si>
  <si>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</si>
  <si>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</si>
  <si>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</si>
  <si>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</si>
  <si>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</si>
  <si>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</si>
  <si>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</si>
  <si>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</si>
  <si>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</si>
  <si>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</si>
  <si>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</si>
  <si>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</si>
  <si>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</si>
  <si>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</si>
  <si>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</si>
  <si>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</si>
  <si>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</si>
  <si>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</si>
  <si>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</si>
  <si>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</si>
  <si>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</si>
  <si>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</si>
  <si>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</si>
  <si>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</si>
  <si>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</si>
  <si>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</si>
  <si>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</si>
  <si>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</si>
  <si>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</si>
  <si>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</si>
  <si>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</si>
  <si>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</si>
  <si>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</si>
  <si>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</si>
  <si>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</si>
  <si>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</si>
  <si>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</si>
  <si>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</si>
  <si>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</si>
  <si>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</si>
  <si>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</si>
  <si>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</si>
  <si>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</si>
  <si>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</si>
  <si>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</si>
  <si>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</si>
  <si>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</si>
  <si>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</si>
  <si>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</si>
  <si>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</si>
  <si>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</si>
  <si>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</si>
  <si>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</si>
  <si>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</si>
  <si>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</si>
  <si>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</si>
  <si>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</si>
  <si>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</si>
  <si>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</si>
  <si>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</si>
  <si>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</si>
  <si>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</si>
  <si>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</si>
  <si>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</si>
  <si>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</si>
  <si>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</si>
  <si>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</si>
  <si>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</si>
  <si>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</si>
  <si>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</si>
  <si>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</si>
  <si>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</si>
  <si>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</si>
  <si>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</si>
  <si>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</si>
  <si>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</si>
  <si>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</si>
  <si>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</si>
  <si>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</si>
  <si>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</si>
  <si>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</si>
  <si>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</si>
  <si>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</si>
  <si>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</si>
  <si>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</si>
  <si>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</si>
  <si>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</si>
  <si>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</si>
  <si>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</si>
  <si>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</si>
  <si>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</si>
  <si>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</si>
  <si>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</si>
  <si>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</si>
  <si>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</si>
  <si>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</si>
  <si>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</si>
  <si>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</si>
  <si>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</si>
  <si>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</si>
  <si>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</si>
  <si>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</si>
  <si>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</si>
  <si>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</si>
  <si>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</si>
  <si>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</si>
  <si>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</si>
  <si>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</si>
  <si>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</si>
  <si>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</si>
  <si>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</si>
  <si>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</si>
  <si>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</si>
  <si>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</si>
  <si>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</si>
  <si>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</si>
  <si>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</si>
  <si>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</si>
  <si>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</si>
  <si>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</si>
  <si>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</si>
  <si>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</si>
  <si>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</si>
  <si>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</si>
  <si>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</si>
  <si>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</si>
  <si>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</si>
  <si>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</si>
  <si>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</si>
  <si>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</si>
  <si>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</si>
  <si>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</si>
  <si>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</si>
  <si>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</si>
  <si>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</si>
  <si>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</si>
  <si>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</si>
  <si>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</si>
  <si>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</si>
  <si>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</si>
  <si>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</si>
  <si>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</si>
  <si>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</si>
  <si>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</si>
  <si>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</si>
  <si>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</si>
  <si>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</si>
  <si>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</si>
  <si>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</si>
  <si>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</si>
  <si>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</si>
  <si>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</si>
  <si>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</si>
  <si>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</si>
  <si>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</si>
  <si>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</si>
  <si>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</si>
  <si>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</si>
  <si>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</si>
  <si>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</si>
  <si>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</si>
  <si>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</si>
  <si>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</si>
  <si>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</si>
  <si>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</si>
  <si>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</si>
  <si>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</si>
  <si>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</si>
  <si>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</si>
  <si>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</si>
  <si>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</si>
  <si>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</si>
  <si>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</si>
  <si>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</si>
  <si>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</si>
  <si>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</si>
  <si>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</si>
  <si>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</si>
  <si>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</si>
  <si>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</si>
  <si>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</si>
  <si>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</si>
  <si>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</si>
  <si>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</si>
  <si>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</si>
  <si>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</si>
  <si>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</si>
  <si>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</si>
  <si>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</si>
  <si>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</si>
  <si>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</si>
  <si>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</si>
  <si>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</si>
  <si>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</si>
  <si>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</si>
  <si>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</si>
  <si>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</si>
  <si>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</si>
  <si>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</si>
  <si>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</si>
  <si>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</si>
  <si>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</si>
  <si>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</si>
  <si>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</si>
  <si>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</si>
  <si>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</si>
  <si>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</si>
  <si>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</si>
  <si>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</si>
  <si>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</si>
  <si>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</si>
  <si>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</si>
  <si>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</si>
  <si>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</si>
  <si>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</si>
  <si>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</si>
  <si>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</si>
  <si>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</si>
  <si>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</si>
  <si>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</si>
  <si>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</si>
  <si>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</si>
  <si>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</si>
  <si>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</si>
  <si>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</si>
  <si>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</si>
  <si>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</si>
  <si>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</si>
  <si>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</si>
  <si>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</si>
  <si>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</si>
  <si>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</si>
  <si>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</si>
  <si>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</si>
  <si>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</si>
  <si>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</si>
  <si>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</si>
  <si>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</si>
  <si>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</si>
  <si>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</si>
  <si>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</si>
  <si>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</si>
  <si>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</si>
  <si>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</si>
  <si>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</si>
  <si>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</si>
  <si>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</si>
  <si>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</si>
  <si>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</si>
  <si>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</si>
  <si>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</si>
  <si>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</si>
  <si>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</si>
  <si>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</si>
  <si>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</si>
  <si>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</si>
  <si>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</si>
  <si>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</si>
  <si>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</si>
  <si>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</si>
  <si>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</si>
  <si>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</si>
  <si>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</si>
  <si>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</si>
  <si>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</si>
  <si>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</si>
  <si>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</si>
  <si>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</si>
  <si>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</si>
  <si>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</si>
  <si>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</si>
  <si>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</si>
  <si>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</si>
  <si>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</si>
  <si>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</si>
  <si>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</si>
  <si>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</si>
  <si>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</si>
  <si>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</si>
  <si>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</si>
  <si>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</si>
  <si>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</si>
  <si>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</si>
  <si>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</si>
  <si>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</si>
  <si>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</si>
  <si>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</si>
  <si>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</si>
  <si>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</si>
  <si>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</si>
  <si>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</si>
  <si>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</si>
  <si>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</si>
  <si>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</si>
  <si>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</si>
  <si>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</si>
  <si>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</si>
  <si>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</si>
  <si>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</si>
  <si>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</si>
  <si>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</si>
  <si>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</si>
  <si>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</si>
  <si>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</si>
  <si>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</si>
  <si>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</si>
  <si>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</si>
  <si>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</si>
  <si>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</si>
  <si>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</si>
  <si>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</si>
  <si>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</si>
  <si>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</si>
  <si>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</si>
  <si>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</si>
  <si>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</si>
  <si>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</si>
  <si>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</si>
  <si>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</si>
  <si>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</si>
  <si>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</si>
  <si>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</si>
  <si>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</si>
  <si>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</si>
  <si>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</si>
  <si>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</si>
  <si>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</si>
  <si>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</si>
  <si>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</si>
  <si>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</si>
  <si>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</si>
  <si>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</si>
  <si>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</si>
  <si>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</si>
  <si>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</si>
  <si>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</si>
  <si>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</si>
  <si>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</si>
  <si>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</si>
  <si>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</si>
  <si>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</si>
  <si>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</si>
  <si>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</si>
  <si>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</si>
  <si>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</si>
  <si>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</si>
  <si>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</si>
  <si>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</si>
  <si>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</si>
  <si>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</si>
  <si>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</si>
  <si>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</si>
  <si>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</si>
  <si>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</si>
  <si>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</si>
  <si>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</si>
  <si>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</si>
  <si>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</si>
  <si>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</si>
  <si>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</si>
  <si>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</si>
  <si>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</si>
  <si>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</si>
  <si>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</si>
  <si>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</si>
  <si>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</si>
  <si>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</si>
  <si>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</si>
  <si>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</si>
  <si>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</si>
  <si>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</si>
  <si>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</si>
  <si>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</si>
  <si>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</si>
  <si>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</si>
  <si>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</si>
  <si>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</si>
  <si>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</si>
  <si>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</si>
  <si>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</si>
  <si>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</si>
  <si>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</si>
  <si>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</si>
  <si>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</si>
  <si>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</si>
  <si>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</si>
  <si>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</si>
  <si>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</si>
  <si>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</si>
  <si>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</si>
  <si>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</si>
  <si>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</si>
  <si>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</si>
  <si>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</si>
  <si>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</si>
  <si>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</si>
  <si>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</si>
  <si>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</si>
  <si>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</si>
  <si>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</si>
  <si>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</si>
  <si>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</si>
  <si>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</si>
  <si>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</si>
  <si>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</si>
  <si>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</si>
  <si>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</si>
  <si>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</si>
  <si>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</si>
  <si>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</si>
  <si>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</si>
  <si>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</si>
  <si>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</si>
  <si>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</si>
  <si>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</si>
  <si>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</si>
  <si>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</si>
  <si>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</si>
  <si>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</si>
  <si>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</si>
  <si>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</si>
  <si>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</si>
  <si>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</si>
  <si>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</si>
  <si>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</si>
  <si>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</si>
  <si>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</si>
  <si>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</si>
  <si>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</si>
  <si>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</si>
  <si>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</si>
  <si>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</si>
  <si>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</si>
  <si>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</si>
  <si>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</si>
  <si>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</si>
  <si>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</si>
  <si>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</si>
  <si>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</si>
  <si>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</si>
  <si>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</si>
  <si>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</si>
  <si>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</si>
  <si>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</si>
  <si>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</si>
  <si>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</si>
  <si>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</si>
  <si>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</si>
  <si>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</si>
  <si>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</si>
  <si>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</si>
  <si>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</si>
  <si>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</si>
  <si>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</si>
  <si>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</si>
  <si>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</si>
  <si>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</si>
  <si>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</si>
  <si>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</si>
  <si>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</si>
  <si>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</si>
  <si>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</si>
  <si>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</si>
  <si>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</si>
  <si>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</si>
  <si>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</si>
  <si>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</si>
  <si>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</si>
  <si>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</si>
  <si>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</si>
  <si>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</si>
  <si>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</si>
  <si>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</si>
  <si>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</si>
  <si>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</si>
  <si>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</si>
  <si>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</si>
  <si>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</si>
  <si>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</si>
  <si>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</si>
  <si>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</si>
  <si>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</si>
  <si>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</si>
  <si>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</si>
  <si>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</si>
  <si>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</si>
  <si>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</si>
  <si>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</si>
  <si>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</si>
  <si>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</si>
  <si>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</si>
  <si>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</si>
  <si>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</si>
  <si>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</si>
  <si>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</si>
  <si>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</si>
  <si>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</si>
  <si>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</si>
  <si>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</si>
  <si>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</si>
  <si>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</si>
  <si>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</si>
  <si>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</si>
  <si>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</si>
  <si>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</si>
  <si>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</si>
  <si>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</si>
  <si>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</si>
  <si>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</si>
  <si>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</si>
  <si>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</si>
  <si>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</si>
  <si>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</si>
  <si>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</si>
  <si>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</si>
  <si>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</si>
  <si>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</si>
  <si>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</si>
  <si>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</si>
  <si>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</si>
  <si>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</si>
  <si>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</si>
  <si>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</si>
  <si>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</si>
  <si>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</si>
  <si>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</si>
  <si>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</si>
  <si>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</si>
  <si>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</si>
  <si>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</si>
  <si>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</si>
  <si>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</si>
  <si>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</si>
  <si>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</si>
  <si>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</si>
  <si>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</si>
  <si>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</si>
  <si>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</si>
  <si>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</si>
  <si>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</si>
  <si>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</si>
  <si>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</si>
  <si>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</si>
  <si>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</si>
  <si>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</si>
  <si>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</si>
  <si>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</si>
  <si>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</si>
  <si>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</si>
  <si>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</si>
  <si>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</si>
  <si>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</si>
  <si>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</si>
  <si>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</si>
  <si>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</si>
  <si>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</si>
  <si>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</si>
  <si>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</si>
  <si>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</si>
  <si>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</si>
  <si>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</si>
  <si>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</si>
  <si>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</si>
  <si>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</si>
  <si>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</si>
  <si>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</si>
  <si>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</si>
  <si>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</si>
  <si>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</si>
  <si>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</si>
  <si>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</si>
  <si>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</si>
  <si>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</si>
  <si>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</si>
  <si>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</si>
  <si>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</si>
  <si>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</si>
  <si>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</si>
  <si>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</si>
  <si>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</si>
  <si>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</si>
  <si>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</si>
  <si>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</si>
  <si>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</si>
  <si>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</si>
  <si>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</si>
  <si>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</si>
  <si>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</si>
  <si>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</si>
  <si>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</si>
  <si>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</si>
  <si>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</si>
  <si>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</si>
  <si>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</si>
  <si>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</si>
  <si>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</si>
  <si>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</si>
  <si>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</si>
  <si>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</si>
  <si>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</si>
  <si>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</si>
  <si>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</si>
  <si>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</si>
  <si>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</si>
  <si>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</si>
  <si>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</si>
  <si>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</si>
  <si>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</si>
  <si>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</si>
  <si>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</si>
  <si>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</si>
  <si>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</si>
  <si>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</si>
  <si>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</si>
  <si>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</si>
  <si>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</si>
  <si>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</si>
  <si>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</si>
  <si>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</si>
  <si>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</si>
  <si>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</si>
  <si>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</si>
  <si>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</si>
  <si>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</si>
  <si>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</si>
  <si>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</si>
  <si>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</si>
  <si>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</si>
  <si>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</si>
  <si>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</si>
  <si>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</si>
  <si>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</si>
  <si>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</si>
  <si>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</si>
  <si>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</si>
  <si>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</si>
  <si>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</si>
  <si>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</si>
  <si>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</si>
  <si>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</si>
  <si>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</si>
  <si>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</si>
  <si>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</si>
  <si>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</si>
  <si>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</si>
  <si>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</si>
  <si>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</si>
  <si>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</si>
  <si>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</si>
  <si>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</si>
  <si>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</si>
  <si>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</si>
  <si>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</si>
  <si>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</si>
  <si>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</si>
  <si>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</si>
  <si>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</si>
  <si>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</si>
  <si>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</si>
  <si>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</si>
  <si>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</si>
  <si>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</si>
  <si>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</si>
  <si>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</si>
  <si>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</si>
  <si>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</si>
  <si>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</si>
  <si>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</si>
  <si>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</si>
  <si>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</si>
  <si>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</si>
  <si>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</si>
  <si>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</si>
  <si>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</si>
  <si>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</si>
  <si>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</si>
  <si>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</si>
  <si>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</si>
  <si>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</si>
  <si>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</si>
  <si>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</si>
  <si>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</si>
  <si>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</si>
  <si>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</si>
  <si>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</si>
  <si>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</si>
  <si>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</si>
  <si>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</si>
  <si>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</si>
  <si>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</si>
  <si>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</si>
  <si>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</si>
  <si>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</si>
  <si>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</si>
  <si>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</si>
  <si>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</si>
  <si>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</si>
  <si>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</si>
  <si>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</si>
  <si>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</si>
  <si>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</si>
  <si>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</si>
  <si>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</si>
  <si>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</si>
  <si>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</si>
  <si>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</si>
  <si>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</si>
  <si>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</si>
  <si>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</si>
  <si>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</si>
  <si>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</si>
  <si>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</si>
  <si>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</si>
  <si>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</si>
  <si>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</si>
  <si>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</si>
  <si>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</si>
  <si>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</si>
  <si>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</si>
  <si>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</si>
  <si>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</si>
  <si>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</si>
  <si>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</si>
  <si>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</si>
  <si>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</si>
  <si>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</si>
  <si>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</si>
  <si>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</si>
  <si>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</si>
  <si>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</si>
  <si>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</si>
  <si>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</si>
  <si>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</si>
  <si>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</si>
  <si>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</si>
  <si>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</si>
  <si>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</si>
  <si>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</si>
  <si>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</si>
  <si>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</si>
  <si>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</si>
  <si>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</si>
  <si>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</si>
  <si>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</si>
  <si>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</si>
  <si>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</si>
  <si>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</si>
  <si>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</si>
  <si>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</si>
  <si>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</si>
  <si>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</si>
  <si>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</si>
  <si>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</si>
  <si>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</si>
  <si>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</si>
  <si>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</si>
  <si>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</si>
  <si>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</si>
  <si>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</si>
  <si>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</si>
  <si>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</si>
  <si>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</si>
  <si>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</si>
  <si>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</si>
  <si>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</si>
  <si>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</si>
  <si>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</si>
  <si>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</si>
  <si>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</si>
  <si>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</si>
  <si>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</si>
  <si>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</si>
  <si>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</si>
  <si>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</si>
  <si>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</si>
  <si>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</si>
  <si>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</si>
  <si>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</si>
  <si>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</si>
  <si>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</si>
  <si>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</si>
  <si>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</si>
  <si>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</si>
  <si>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</si>
  <si>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</si>
  <si>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</si>
  <si>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</si>
  <si>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</si>
  <si>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</si>
  <si>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</si>
  <si>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</si>
  <si>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</si>
  <si>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</si>
  <si>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</si>
  <si>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</si>
  <si>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</si>
  <si>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</si>
  <si>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</si>
  <si>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</si>
  <si>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</si>
  <si>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</si>
  <si>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</si>
  <si>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</si>
  <si>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</si>
  <si>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</si>
  <si>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</si>
  <si>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</si>
  <si>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</si>
  <si>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</si>
  <si>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</si>
  <si>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</si>
  <si>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</si>
  <si>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</si>
  <si>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</si>
  <si>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</si>
  <si>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</si>
  <si>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</si>
  <si>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</si>
  <si>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</si>
  <si>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</si>
  <si>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</si>
  <si>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</si>
  <si>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</si>
  <si>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</si>
  <si>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</si>
  <si>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</si>
  <si>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</si>
  <si>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</si>
  <si>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</si>
  <si>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</si>
  <si>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</si>
  <si>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</si>
  <si>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</si>
  <si>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</si>
  <si>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</si>
  <si>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</si>
  <si>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</si>
  <si>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</si>
  <si>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</si>
  <si>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</si>
  <si>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</si>
  <si>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</si>
  <si>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</si>
  <si>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</si>
  <si>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</si>
  <si>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</si>
  <si>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</si>
  <si>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</si>
  <si>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</si>
  <si>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</si>
  <si>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</si>
  <si>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</si>
  <si>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</si>
  <si>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</si>
  <si>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</si>
  <si>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</si>
  <si>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</si>
  <si>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</si>
  <si>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</si>
  <si>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</si>
  <si>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</si>
  <si>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</si>
  <si>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</si>
  <si>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</si>
  <si>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</si>
  <si>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</si>
  <si>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</si>
  <si>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</si>
  <si>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</si>
  <si>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</si>
  <si>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</si>
  <si>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</si>
  <si>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</si>
  <si>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</si>
  <si>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</si>
  <si>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</si>
  <si>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</si>
  <si>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</si>
  <si>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</si>
  <si>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</si>
  <si>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</si>
  <si>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</si>
  <si>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</si>
  <si>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</si>
  <si>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</si>
  <si>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</si>
  <si>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</si>
  <si>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</si>
  <si>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</si>
  <si>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</si>
  <si>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</si>
  <si>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</si>
  <si>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</si>
  <si>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</si>
  <si>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</si>
  <si>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</si>
  <si>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</si>
  <si>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</si>
  <si>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</si>
  <si>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</si>
  <si>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</si>
  <si>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</si>
  <si>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</si>
  <si>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</si>
  <si>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</si>
  <si>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</si>
  <si>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</si>
  <si>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</si>
  <si>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</si>
  <si>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</si>
  <si>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</si>
  <si>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</si>
  <si>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</si>
  <si>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</si>
  <si>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</si>
  <si>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</si>
  <si>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</si>
  <si>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</si>
  <si>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</si>
  <si>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</si>
  <si>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</si>
  <si>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</si>
  <si>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</si>
  <si>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</si>
  <si>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</si>
  <si>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</si>
  <si>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</si>
  <si>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</si>
  <si>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</si>
  <si>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</si>
  <si>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</si>
  <si>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</si>
  <si>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</si>
  <si>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</si>
  <si>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</si>
  <si>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</si>
  <si>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</si>
  <si>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</si>
  <si>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</si>
  <si>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</si>
  <si>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</si>
  <si>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</si>
  <si>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</si>
  <si>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</si>
  <si>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</si>
  <si>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</si>
  <si>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</si>
  <si>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</si>
  <si>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</si>
  <si>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</si>
  <si>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</si>
  <si>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</si>
  <si>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</si>
  <si>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</si>
  <si>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</si>
  <si>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</si>
  <si>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</si>
  <si>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</si>
  <si>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</si>
  <si>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</si>
  <si>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</si>
  <si>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</si>
  <si>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</si>
  <si>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</si>
  <si>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</si>
  <si>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</si>
  <si>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</si>
  <si>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</si>
  <si>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</si>
  <si>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</si>
  <si>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</si>
  <si>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</si>
  <si>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</si>
  <si>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</si>
  <si>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</si>
  <si>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</si>
  <si>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</si>
  <si>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</si>
  <si>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</si>
  <si>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</si>
  <si>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</si>
  <si>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</si>
  <si>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</si>
  <si>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</si>
  <si>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</si>
  <si>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</si>
  <si>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</si>
  <si>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</si>
  <si>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</si>
  <si>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</si>
  <si>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</si>
  <si>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</si>
  <si>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</si>
  <si>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</si>
  <si>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</si>
  <si>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</si>
  <si>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</si>
  <si>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</si>
  <si>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</si>
  <si>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</si>
  <si>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</si>
  <si>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</si>
  <si>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</si>
  <si>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</si>
  <si>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</si>
  <si>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</si>
  <si>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</si>
  <si>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</si>
  <si>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</si>
  <si>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</si>
  <si>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</si>
  <si>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</si>
  <si>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</si>
  <si>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</si>
  <si>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</si>
  <si>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</si>
  <si>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</si>
  <si>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</si>
  <si>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</si>
  <si>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</si>
  <si>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</si>
  <si>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</si>
  <si>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</si>
  <si>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</si>
  <si>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</si>
  <si>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</si>
  <si>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</si>
  <si>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</si>
  <si>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</si>
  <si>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</si>
  <si>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</si>
  <si>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</si>
  <si>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</si>
  <si>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</si>
  <si>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</si>
  <si>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</si>
  <si>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</si>
  <si>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</si>
  <si>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</si>
  <si>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</si>
  <si>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</si>
  <si>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</si>
  <si>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</si>
  <si>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</si>
  <si>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</si>
  <si>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</si>
  <si>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</si>
  <si>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</si>
  <si>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</si>
  <si>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</si>
  <si>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</si>
  <si>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</si>
  <si>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</si>
  <si>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</si>
  <si>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</si>
  <si>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</si>
  <si>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</si>
  <si>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</si>
  <si>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</si>
  <si>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</si>
  <si>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</si>
  <si>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</si>
  <si>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</si>
  <si>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</si>
  <si>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</si>
  <si>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</si>
  <si>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</si>
  <si>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</si>
  <si>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</si>
  <si>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</si>
  <si>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</si>
  <si>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</si>
  <si>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</si>
  <si>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</si>
  <si>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</si>
  <si>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</si>
  <si>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</si>
  <si>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</si>
  <si>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</si>
  <si>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</si>
  <si>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</si>
  <si>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</si>
  <si>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</si>
  <si>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</si>
  <si>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</si>
  <si>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</si>
  <si>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</si>
  <si>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</si>
  <si>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</si>
  <si>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</si>
  <si>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</si>
  <si>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</si>
  <si>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</si>
  <si>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</si>
  <si>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</si>
  <si>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</si>
  <si>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</si>
  <si>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</si>
  <si>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</si>
  <si>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</si>
  <si>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</si>
  <si>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</si>
  <si>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</si>
  <si>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</si>
  <si>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</si>
  <si>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</si>
  <si>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</si>
  <si>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</si>
  <si>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</si>
  <si>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</si>
  <si>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</si>
  <si>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</si>
  <si>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</si>
  <si>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</si>
  <si>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</si>
  <si>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</si>
  <si>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</si>
  <si>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</si>
  <si>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</si>
  <si>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</si>
  <si>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</si>
  <si>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</si>
  <si>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</si>
  <si>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</si>
  <si>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</si>
  <si>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</si>
  <si>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</si>
  <si>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</si>
  <si>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</si>
  <si>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</si>
  <si>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</si>
  <si>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</si>
  <si>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</si>
  <si>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</si>
  <si>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</si>
  <si>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</si>
  <si>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</si>
  <si>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</si>
  <si>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</si>
  <si>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</si>
  <si>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</si>
  <si>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</si>
  <si>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</si>
  <si>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</si>
  <si>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</si>
  <si>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</si>
  <si>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</si>
  <si>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</si>
  <si>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</si>
  <si>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</si>
  <si>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</si>
  <si>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</si>
  <si>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</si>
  <si>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</si>
  <si>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</si>
  <si>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</si>
  <si>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</si>
  <si>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</si>
  <si>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</si>
  <si>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</si>
  <si>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</si>
  <si>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</si>
  <si>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</si>
  <si>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</si>
  <si>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</si>
  <si>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</si>
  <si>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</si>
  <si>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</si>
  <si>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</si>
  <si>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</si>
  <si>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</si>
  <si>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</si>
  <si>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</si>
  <si>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</si>
  <si>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</si>
  <si>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</si>
  <si>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</si>
  <si>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</si>
  <si>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</si>
  <si>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</si>
  <si>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</si>
  <si>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</si>
  <si>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</si>
  <si>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</si>
  <si>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</si>
  <si>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</si>
  <si>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</si>
  <si>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</si>
  <si>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</si>
  <si>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</si>
  <si>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</si>
  <si>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</si>
  <si>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</si>
  <si>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</si>
  <si>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</si>
  <si>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</si>
  <si>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</si>
  <si>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</si>
  <si>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</si>
  <si>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</si>
  <si>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</si>
  <si>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</si>
  <si>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</si>
  <si>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</si>
  <si>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</si>
  <si>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</si>
  <si>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</si>
  <si>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</si>
  <si>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</si>
  <si>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</si>
  <si>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</si>
  <si>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</si>
  <si>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</si>
  <si>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</si>
  <si>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</si>
  <si>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</si>
  <si>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</si>
  <si>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</si>
  <si>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</si>
  <si>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</si>
  <si>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</si>
  <si>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</si>
  <si>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</si>
  <si>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</si>
  <si>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</si>
  <si>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</si>
  <si>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</si>
  <si>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</si>
  <si>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</si>
  <si>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</si>
  <si>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</si>
  <si>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</si>
  <si>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</si>
  <si>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</si>
  <si>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</si>
  <si>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</si>
  <si>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</si>
  <si>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</si>
  <si>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</si>
  <si>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</si>
  <si>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</si>
  <si>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</si>
  <si>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</si>
  <si>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</si>
  <si>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</si>
  <si>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</si>
  <si>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</si>
  <si>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</si>
  <si>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</si>
  <si>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</si>
  <si>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</si>
  <si>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</si>
  <si>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</si>
  <si>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</si>
  <si>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</si>
  <si>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</si>
  <si>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</si>
  <si>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</si>
  <si>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</si>
  <si>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</si>
  <si>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</si>
  <si>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</si>
  <si>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</si>
  <si>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</si>
  <si>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</si>
  <si>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</si>
  <si>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</si>
  <si>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</si>
  <si>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</si>
  <si>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</si>
  <si>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</si>
  <si>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</si>
  <si>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</si>
  <si>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</si>
  <si>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</si>
  <si>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</si>
  <si>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</si>
  <si>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</si>
  <si>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</si>
  <si>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</si>
  <si>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</si>
  <si>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</si>
  <si>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</si>
  <si>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</si>
  <si>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</si>
  <si>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</si>
  <si>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</si>
  <si>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</si>
  <si>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</si>
  <si>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</si>
  <si>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</si>
  <si>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</si>
  <si>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</si>
  <si>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</si>
  <si>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</si>
  <si>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</si>
  <si>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</si>
  <si>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</si>
  <si>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</si>
  <si>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</si>
  <si>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</si>
  <si>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</si>
  <si>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</si>
  <si>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</si>
  <si>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</si>
  <si>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</si>
  <si>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</si>
  <si>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</si>
  <si>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</si>
  <si>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</si>
  <si>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</si>
  <si>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</si>
  <si>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</si>
  <si>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</si>
  <si>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</si>
  <si>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</si>
  <si>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</si>
  <si>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</si>
  <si>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</si>
  <si>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</si>
  <si>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</si>
  <si>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</si>
  <si>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</si>
  <si>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</si>
  <si>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</si>
  <si>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</si>
  <si>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</si>
  <si>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</si>
  <si>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</si>
  <si>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</si>
  <si>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</si>
  <si>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</si>
  <si>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</si>
  <si>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</si>
  <si>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</si>
  <si>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</si>
  <si>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</si>
  <si>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</si>
  <si>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</si>
  <si>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</si>
  <si>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</si>
  <si>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</si>
  <si>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</si>
  <si>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</si>
  <si>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</si>
  <si>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</si>
  <si>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</si>
  <si>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</si>
  <si>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</si>
  <si>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</si>
  <si>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</si>
  <si>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</si>
  <si>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</si>
  <si>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</si>
  <si>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</si>
  <si>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</si>
  <si>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</si>
  <si>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</si>
  <si>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</si>
  <si>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</si>
  <si>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</si>
  <si>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</si>
  <si>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</si>
  <si>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</si>
  <si>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</si>
  <si>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</si>
  <si>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</si>
  <si>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</si>
  <si>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</si>
  <si>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</si>
  <si>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</si>
  <si>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</si>
  <si>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</si>
  <si>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</si>
  <si>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</si>
  <si>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</si>
  <si>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</si>
  <si>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</si>
  <si>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</si>
  <si>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</si>
  <si>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</si>
  <si>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</si>
  <si>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</si>
  <si>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</si>
  <si>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</si>
  <si>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</si>
  <si>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</si>
  <si>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</si>
  <si>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</si>
  <si>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</si>
  <si>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</si>
  <si>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</si>
  <si>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</si>
  <si>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</si>
  <si>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</si>
  <si>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</si>
  <si>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</si>
  <si>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</si>
  <si>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</si>
  <si>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</si>
  <si>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</si>
  <si>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</si>
  <si>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</si>
  <si>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</si>
  <si>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</si>
  <si>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</si>
  <si>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</si>
  <si>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</si>
  <si>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</si>
  <si>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</si>
  <si>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</si>
  <si>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</si>
  <si>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</si>
  <si>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</si>
  <si>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</si>
  <si>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</si>
  <si>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</si>
  <si>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</si>
  <si>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</si>
  <si>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</si>
  <si>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</si>
  <si>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</si>
  <si>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</si>
  <si>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</si>
  <si>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</si>
  <si>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</si>
  <si>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</si>
  <si>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</si>
  <si>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</si>
  <si>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</si>
  <si>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</si>
  <si>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</si>
  <si>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</si>
  <si>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</si>
  <si>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</si>
  <si>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</si>
  <si>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</si>
  <si>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</si>
  <si>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</si>
  <si>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</si>
  <si>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</si>
  <si>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</si>
  <si>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</si>
  <si>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</si>
  <si>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</si>
  <si>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</si>
  <si>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</si>
  <si>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</si>
  <si>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</si>
  <si>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</si>
  <si>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</si>
  <si>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</si>
  <si>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</si>
  <si>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</si>
  <si>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</si>
  <si>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</si>
  <si>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</si>
  <si>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</si>
  <si>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</si>
  <si>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</si>
  <si>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</si>
  <si>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</si>
  <si>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</si>
  <si>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</si>
  <si>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</si>
  <si>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</si>
  <si>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</si>
  <si>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</si>
  <si>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</si>
  <si>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</si>
  <si>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</si>
  <si>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</si>
  <si>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</si>
  <si>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</si>
  <si>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</si>
  <si>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</si>
  <si>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</si>
  <si>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</si>
  <si>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</si>
  <si>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</si>
  <si>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</si>
  <si>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</si>
  <si>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</si>
  <si>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</si>
  <si>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</si>
  <si>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</si>
  <si>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</si>
  <si>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</si>
  <si>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</si>
  <si>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</si>
  <si>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</si>
  <si>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</si>
  <si>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</si>
  <si>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</si>
  <si>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</si>
  <si>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</si>
  <si>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</si>
  <si>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</si>
  <si>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</si>
  <si>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</si>
  <si>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</si>
  <si>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</si>
  <si>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</si>
  <si>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</si>
  <si>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</si>
  <si>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</si>
  <si>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</si>
  <si>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</si>
  <si>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</si>
  <si>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</si>
  <si>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</si>
  <si>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</si>
  <si>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</si>
  <si>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</si>
  <si>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</si>
  <si>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</si>
  <si>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</si>
  <si>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</si>
  <si>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</si>
  <si>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</si>
  <si>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</si>
  <si>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</si>
  <si>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</si>
  <si>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</si>
  <si>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</si>
  <si>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</si>
  <si>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</si>
  <si>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</si>
  <si>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</si>
  <si>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</si>
  <si>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</si>
  <si>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</si>
  <si>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</si>
  <si>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</si>
  <si>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</si>
  <si>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</si>
  <si>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</si>
  <si>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</si>
  <si>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</si>
  <si>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</si>
  <si>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</si>
  <si>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</si>
  <si>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</si>
  <si>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</si>
  <si>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</si>
  <si>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</si>
  <si>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</si>
  <si>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</si>
  <si>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</si>
  <si>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</si>
  <si>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</si>
  <si>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</si>
  <si>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</si>
  <si>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</si>
  <si>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</si>
  <si>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</si>
  <si>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</si>
  <si>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</si>
  <si>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</si>
  <si>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</si>
  <si>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</si>
  <si>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</si>
  <si>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</si>
  <si>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</si>
  <si>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</si>
  <si>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</si>
  <si>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</si>
  <si>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</si>
  <si>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</si>
  <si>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</si>
  <si>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</si>
  <si>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</si>
  <si>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</si>
  <si>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</si>
  <si>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</si>
  <si>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</si>
  <si>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</si>
  <si>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</si>
  <si>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</si>
  <si>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</si>
  <si>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</si>
  <si>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</si>
  <si>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</si>
  <si>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</si>
  <si>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</si>
  <si>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</si>
  <si>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</si>
  <si>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</si>
  <si>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</si>
  <si>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</si>
  <si>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</si>
  <si>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</si>
  <si>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</si>
  <si>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</si>
  <si>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</si>
  <si>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</si>
  <si>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</si>
  <si>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</si>
  <si>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</si>
  <si>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</si>
  <si>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</si>
  <si>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</si>
  <si>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</si>
  <si>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</si>
  <si>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</si>
  <si>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</si>
  <si>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</si>
  <si>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</si>
  <si>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</si>
  <si>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</si>
  <si>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</si>
  <si>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</si>
  <si>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</si>
  <si>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</si>
  <si>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</si>
  <si>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</si>
  <si>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</si>
  <si>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</si>
  <si>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</si>
  <si>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</si>
  <si>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</si>
  <si>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</si>
  <si>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</si>
  <si>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</si>
  <si>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</si>
  <si>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</si>
  <si>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</si>
  <si>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</si>
  <si>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</si>
  <si>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</si>
  <si>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</si>
  <si>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</si>
  <si>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</si>
  <si>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</si>
  <si>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</si>
  <si>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</si>
  <si>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</si>
  <si>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</si>
  <si>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</si>
  <si>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</si>
  <si>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</si>
  <si>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</si>
  <si>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</si>
  <si>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</si>
  <si>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</si>
  <si>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</si>
  <si>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</si>
  <si>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</si>
  <si>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</si>
  <si>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</si>
  <si>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</si>
  <si>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</si>
  <si>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</si>
  <si>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</si>
  <si>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</si>
  <si>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</si>
  <si>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</si>
  <si>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</si>
  <si>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</si>
  <si>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</si>
  <si>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</si>
  <si>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</si>
  <si>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</si>
  <si>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</si>
  <si>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</si>
  <si>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</si>
  <si>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</si>
  <si>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</si>
  <si>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</si>
  <si>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</si>
  <si>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</si>
  <si>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</si>
  <si>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</si>
  <si>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</si>
  <si>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</si>
  <si>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</si>
  <si>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</si>
  <si>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</si>
  <si>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</si>
  <si>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</si>
  <si>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</si>
  <si>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</si>
  <si>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</si>
  <si>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</si>
  <si>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</si>
  <si>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</si>
  <si>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</si>
  <si>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</si>
  <si>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</si>
  <si>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</si>
  <si>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</si>
  <si>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</si>
  <si>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</si>
  <si>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</si>
  <si>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</si>
  <si>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</si>
  <si>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</si>
  <si>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</si>
  <si>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</si>
  <si>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</si>
  <si>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</si>
  <si>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</si>
  <si>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</si>
  <si>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</si>
  <si>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</si>
  <si>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</si>
  <si>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</si>
  <si>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</si>
  <si>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</si>
  <si>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</si>
  <si>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</si>
  <si>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</si>
  <si>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</si>
  <si>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</si>
  <si>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</si>
  <si>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</si>
  <si>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</si>
  <si>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</si>
  <si>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</si>
  <si>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</si>
  <si>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</si>
  <si>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</si>
  <si>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</si>
  <si>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</si>
  <si>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</si>
  <si>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</si>
  <si>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</si>
  <si>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</si>
  <si>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</si>
  <si>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</si>
  <si>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</si>
  <si>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</si>
  <si>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</si>
  <si>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</si>
  <si>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</si>
  <si>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</si>
  <si>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</si>
  <si>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</si>
  <si>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</si>
  <si>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</si>
  <si>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</si>
  <si>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</si>
  <si>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</si>
  <si>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</si>
  <si>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</si>
  <si>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</si>
  <si>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</si>
  <si>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</si>
  <si>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</si>
  <si>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</si>
  <si>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</si>
  <si>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</si>
  <si>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</si>
  <si>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</si>
  <si>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</si>
  <si>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</si>
  <si>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</si>
  <si>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</si>
  <si>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</si>
  <si>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</si>
  <si>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</si>
  <si>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</si>
  <si>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</si>
  <si>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</si>
  <si>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</si>
  <si>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</si>
  <si>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</si>
  <si>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</si>
  <si>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</si>
  <si>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</si>
  <si>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</si>
  <si>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</si>
  <si>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</si>
  <si>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</si>
  <si>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</si>
  <si>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</si>
  <si>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</si>
  <si>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</si>
  <si>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</si>
  <si>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</si>
  <si>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</si>
  <si>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</si>
  <si>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</si>
  <si>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</si>
  <si>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</si>
  <si>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</si>
  <si>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</si>
  <si>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</si>
  <si>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</si>
  <si>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</si>
  <si>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</si>
  <si>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</si>
  <si>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</si>
  <si>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</si>
  <si>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</si>
  <si>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</si>
  <si>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</si>
  <si>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</si>
  <si>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</si>
  <si>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</si>
  <si>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</si>
  <si>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</si>
  <si>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</si>
  <si>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</si>
  <si>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</si>
  <si>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</si>
  <si>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</si>
  <si>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</si>
  <si>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</si>
  <si>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</si>
  <si>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</si>
  <si>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</si>
  <si>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</si>
  <si>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</si>
  <si>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</si>
  <si>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</si>
  <si>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</si>
  <si>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</si>
  <si>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</si>
  <si>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</si>
  <si>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</si>
  <si>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</si>
  <si>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</si>
  <si>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</si>
  <si>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</si>
  <si>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</si>
  <si>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</si>
  <si>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</si>
  <si>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</si>
  <si>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</si>
  <si>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</si>
  <si>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</si>
  <si>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</si>
  <si>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</si>
  <si>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</si>
  <si>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</si>
  <si>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</si>
  <si>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</si>
  <si>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</si>
  <si>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</si>
  <si>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</si>
  <si>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</si>
  <si>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</si>
  <si>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</si>
  <si>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</si>
  <si>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</si>
  <si>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</si>
  <si>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</si>
  <si>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</si>
  <si>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</si>
  <si>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</si>
  <si>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</si>
  <si>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</si>
  <si>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</si>
  <si>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</si>
  <si>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</si>
  <si>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</si>
  <si>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</si>
  <si>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</si>
  <si>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</si>
  <si>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</si>
  <si>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</si>
  <si>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</si>
  <si>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</si>
  <si>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</si>
  <si>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</si>
  <si>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</si>
  <si>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</si>
  <si>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</si>
  <si>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</si>
  <si>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</si>
  <si>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</si>
  <si>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</si>
  <si>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</si>
  <si>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</si>
  <si>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</si>
  <si>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</si>
  <si>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</si>
  <si>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</si>
  <si>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</si>
  <si>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</si>
  <si>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</si>
  <si>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</si>
  <si>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</si>
  <si>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</si>
  <si>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</si>
  <si>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</si>
  <si>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</si>
  <si>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</si>
  <si>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</si>
  <si>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</si>
  <si>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</si>
  <si>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</si>
  <si>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</si>
  <si>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</si>
  <si>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</si>
  <si>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</si>
  <si>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</si>
  <si>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</si>
  <si>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</si>
  <si>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</si>
  <si>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</si>
  <si>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</si>
  <si>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</si>
  <si>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</si>
  <si>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</si>
  <si>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</si>
  <si>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</si>
  <si>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</si>
  <si>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</si>
  <si>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</si>
  <si>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</si>
  <si>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</si>
  <si>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</si>
  <si>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</si>
  <si>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</si>
  <si>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</si>
  <si>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</si>
  <si>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</si>
  <si>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</si>
  <si>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</si>
  <si>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</si>
  <si>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</si>
  <si>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</si>
  <si>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</si>
  <si>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</si>
  <si>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</si>
  <si>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</si>
  <si>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</si>
  <si>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</si>
  <si>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</si>
  <si>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</si>
  <si>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</si>
  <si>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</si>
  <si>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</si>
  <si>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</si>
  <si>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</si>
  <si>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</si>
  <si>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</si>
  <si>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</si>
  <si>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</si>
  <si>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</si>
  <si>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</si>
  <si>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</si>
  <si>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</si>
  <si>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</si>
  <si>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</si>
  <si>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</si>
  <si>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</si>
  <si>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</si>
  <si>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</si>
  <si>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</si>
  <si>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</si>
  <si>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</si>
  <si>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</si>
  <si>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</si>
  <si>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</si>
  <si>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</si>
  <si>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</si>
  <si>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</si>
  <si>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</si>
  <si>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</si>
  <si>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</si>
  <si>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</si>
  <si>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</si>
  <si>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</si>
  <si>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</si>
  <si>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</si>
  <si>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</si>
  <si>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</si>
  <si>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</si>
  <si>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</si>
  <si>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</si>
  <si>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</si>
  <si>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</si>
  <si>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</si>
  <si>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</si>
  <si>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</si>
  <si>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</si>
  <si>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</si>
  <si>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</si>
  <si>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</si>
  <si>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</si>
  <si>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</si>
  <si>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</si>
  <si>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</si>
  <si>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</si>
  <si>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</si>
  <si>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</si>
  <si>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</si>
  <si>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</si>
  <si>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</si>
  <si>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</si>
  <si>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</si>
  <si>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</si>
  <si>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</si>
  <si>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</si>
  <si>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</si>
  <si>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</si>
  <si>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</si>
  <si>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</si>
  <si>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</si>
  <si>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</si>
  <si>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</si>
  <si>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</si>
  <si>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</si>
  <si>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</si>
  <si>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</si>
  <si>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</si>
  <si>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</si>
  <si>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</si>
  <si>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</si>
  <si>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</si>
  <si>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</si>
  <si>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</si>
  <si>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</si>
  <si>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</si>
  <si>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</si>
  <si>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</si>
  <si>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</si>
  <si>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</si>
  <si>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</si>
  <si>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</si>
  <si>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</si>
  <si>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</si>
  <si>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</si>
  <si>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</si>
  <si>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</si>
  <si>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</si>
  <si>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</si>
  <si>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</si>
  <si>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</si>
  <si>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</si>
  <si>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</si>
  <si>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</si>
  <si>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</si>
  <si>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</si>
  <si>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</si>
  <si>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</si>
  <si>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</si>
  <si>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</si>
  <si>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</si>
  <si>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</si>
  <si>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</si>
  <si>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</si>
  <si>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</si>
  <si>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</si>
  <si>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</si>
  <si>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</si>
  <si>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</si>
  <si>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</si>
  <si>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</si>
  <si>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</si>
  <si>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</si>
  <si>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</si>
  <si>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</si>
  <si>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</si>
  <si>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</si>
  <si>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</si>
  <si>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</si>
  <si>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</si>
  <si>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</si>
  <si>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</si>
  <si>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</si>
  <si>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</si>
  <si>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</si>
  <si>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</si>
  <si>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</si>
  <si>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</si>
  <si>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</si>
  <si>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</si>
  <si>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</si>
  <si>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</si>
  <si>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</si>
  <si>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</si>
  <si>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</si>
  <si>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</si>
  <si>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</si>
  <si>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</si>
  <si>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</si>
  <si>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</si>
  <si>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</si>
  <si>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</si>
  <si>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</si>
  <si>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</si>
  <si>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</si>
  <si>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</si>
  <si>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</si>
  <si>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</si>
  <si>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</si>
  <si>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</si>
  <si>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</si>
  <si>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</si>
  <si>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</si>
  <si>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</si>
  <si>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</si>
  <si>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</si>
  <si>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</si>
  <si>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</si>
  <si>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</si>
  <si>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</si>
  <si>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</si>
  <si>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</si>
  <si>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</si>
  <si>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</si>
  <si>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</si>
  <si>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</si>
  <si>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</si>
  <si>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</si>
  <si>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</si>
  <si>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</si>
  <si>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</si>
  <si>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</si>
  <si>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</si>
  <si>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</si>
  <si>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</si>
  <si>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</si>
  <si>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</si>
  <si>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</si>
  <si>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</si>
  <si>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</si>
  <si>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</si>
  <si>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</si>
  <si>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</si>
  <si>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</si>
  <si>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</si>
  <si>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</si>
  <si>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</si>
  <si>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</si>
  <si>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</si>
  <si>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</si>
  <si>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</si>
  <si>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</si>
  <si>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</si>
  <si>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</si>
  <si>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</si>
  <si>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</si>
  <si>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</si>
  <si>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</si>
  <si>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</si>
  <si>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</si>
  <si>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</si>
  <si>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</si>
  <si>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</si>
  <si>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</si>
  <si>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</si>
  <si>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</si>
  <si>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</si>
  <si>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</si>
  <si>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</si>
  <si>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</si>
  <si>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</si>
  <si>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</si>
  <si>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</si>
  <si>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</si>
  <si>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</si>
  <si>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</si>
  <si>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</si>
  <si>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</si>
  <si>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</si>
  <si>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</si>
  <si>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</si>
  <si>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</si>
  <si>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</si>
  <si>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</si>
  <si>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</si>
  <si>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</si>
  <si>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</si>
  <si>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</si>
  <si>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</si>
  <si>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</si>
  <si>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</si>
  <si>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</si>
  <si>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</si>
  <si>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</si>
  <si>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</si>
  <si>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</si>
  <si>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</si>
  <si>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</si>
  <si>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</si>
  <si>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</si>
  <si>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</si>
  <si>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</si>
  <si>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</si>
  <si>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</si>
  <si>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</si>
  <si>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</si>
  <si>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</si>
  <si>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</si>
  <si>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</si>
  <si>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</si>
  <si>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</si>
  <si>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</si>
  <si>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</si>
  <si>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</si>
  <si>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</si>
  <si>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</si>
  <si>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</si>
  <si>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</si>
  <si>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</si>
  <si>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</si>
  <si>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</si>
  <si>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</si>
  <si>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</si>
  <si>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</si>
  <si>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</si>
  <si>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</si>
  <si>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</si>
  <si>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</si>
  <si>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</si>
  <si>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</si>
  <si>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</si>
  <si>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</si>
  <si>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</si>
  <si>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</si>
  <si>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</si>
  <si>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</si>
  <si>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</si>
  <si>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</si>
  <si>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</si>
  <si>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</si>
  <si>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</si>
  <si>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</si>
  <si>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</si>
  <si>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</si>
  <si>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</si>
  <si>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</si>
  <si>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</si>
  <si>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</si>
  <si>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</si>
  <si>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</si>
  <si>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</si>
  <si>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</si>
  <si>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</si>
  <si>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</si>
  <si>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</si>
  <si>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</si>
  <si>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</si>
  <si>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</si>
  <si>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</si>
  <si>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</si>
  <si>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</si>
  <si>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</si>
  <si>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</si>
  <si>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</si>
  <si>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</si>
  <si>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</si>
  <si>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</si>
  <si>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</si>
  <si>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</si>
  <si>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</si>
  <si>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</si>
  <si>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</si>
  <si>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</si>
  <si>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</si>
  <si>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</si>
  <si>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</si>
  <si>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</si>
  <si>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</si>
  <si>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</si>
  <si>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</si>
  <si>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</si>
  <si>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</si>
  <si>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</si>
  <si>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</si>
  <si>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</si>
  <si>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</si>
  <si>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</si>
  <si>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</si>
  <si>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</si>
  <si>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</si>
  <si>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</si>
  <si>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</si>
  <si>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</si>
  <si>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</si>
  <si>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</si>
  <si>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</si>
  <si>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</si>
  <si>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</si>
  <si>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</si>
  <si>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</si>
  <si>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</si>
  <si>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</si>
  <si>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</si>
  <si>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</si>
  <si>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</si>
  <si>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</si>
  <si>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</si>
  <si>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</si>
  <si>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</si>
  <si>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</si>
  <si>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</si>
  <si>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</si>
  <si>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</si>
  <si>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</si>
  <si>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</si>
  <si>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</si>
  <si>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</si>
  <si>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</si>
  <si>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</si>
  <si>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</si>
  <si>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</si>
  <si>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</si>
  <si>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</si>
  <si>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</si>
  <si>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</si>
  <si>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</si>
  <si>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</si>
  <si>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</si>
  <si>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</si>
  <si>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</si>
  <si>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</si>
  <si>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</si>
  <si>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</si>
  <si>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</si>
  <si>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</si>
  <si>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</si>
  <si>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</si>
  <si>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</si>
  <si>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</si>
  <si>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</si>
  <si>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</si>
  <si>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</si>
  <si>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</si>
  <si>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</si>
  <si>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</si>
  <si>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</si>
  <si>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</si>
  <si>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</si>
  <si>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</si>
  <si>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</si>
  <si>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</si>
  <si>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</si>
  <si>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</si>
  <si>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</si>
  <si>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</si>
  <si>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</si>
  <si>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</si>
  <si>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</si>
  <si>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</si>
  <si>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</si>
  <si>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</si>
  <si>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</si>
  <si>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</si>
  <si>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</si>
  <si>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</si>
  <si>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</si>
  <si>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</si>
  <si>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</si>
  <si>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</si>
  <si>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</si>
  <si>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</si>
  <si>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</si>
  <si>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</si>
  <si>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</si>
  <si>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</si>
  <si>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</si>
  <si>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</si>
  <si>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</si>
  <si>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</si>
  <si>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</si>
  <si>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</si>
  <si>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</si>
  <si>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</si>
  <si>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</si>
  <si>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</si>
  <si>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</si>
  <si>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</si>
  <si>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</si>
  <si>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</si>
  <si>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</si>
  <si>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</si>
  <si>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</si>
  <si>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</si>
  <si>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</si>
  <si>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</si>
  <si>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</si>
  <si>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</si>
  <si>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</si>
  <si>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</si>
  <si>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</si>
  <si>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</si>
  <si>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</si>
  <si>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</si>
  <si>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</si>
  <si>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</si>
  <si>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</si>
  <si>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</si>
  <si>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</si>
  <si>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</si>
  <si>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</si>
  <si>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</si>
  <si>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</si>
  <si>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</si>
  <si>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</si>
  <si>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</si>
  <si>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</si>
  <si>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</si>
  <si>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</si>
  <si>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</si>
  <si>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</si>
  <si>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</si>
  <si>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</si>
  <si>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</si>
  <si>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</si>
  <si>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</si>
  <si>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</si>
  <si>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</si>
  <si>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</si>
  <si>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</si>
  <si>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</si>
  <si>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</si>
  <si>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</si>
  <si>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</si>
  <si>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</si>
  <si>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</si>
  <si>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</si>
  <si>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</si>
  <si>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</si>
  <si>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</si>
  <si>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</si>
  <si>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</si>
  <si>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</si>
  <si>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</si>
  <si>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</si>
  <si>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</si>
  <si>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</si>
  <si>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</si>
  <si>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</si>
  <si>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</si>
  <si>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</si>
  <si>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</si>
  <si>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</si>
  <si>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</si>
  <si>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</si>
  <si>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</si>
  <si>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</si>
  <si>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</si>
  <si>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</si>
  <si>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</si>
  <si>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</si>
  <si>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</si>
  <si>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</si>
  <si>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</si>
  <si>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</si>
  <si>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</si>
  <si>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</si>
  <si>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</si>
  <si>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</si>
  <si>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</si>
  <si>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</si>
  <si>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</si>
  <si>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</si>
  <si>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</si>
  <si>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</si>
  <si>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</si>
  <si>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</si>
  <si>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</si>
  <si>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</si>
  <si>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</si>
  <si>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</si>
  <si>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</si>
  <si>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</si>
  <si>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</si>
  <si>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</si>
  <si>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</si>
  <si>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</si>
  <si>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</si>
  <si>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</si>
  <si>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</si>
  <si>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</si>
  <si>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</si>
  <si>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</si>
  <si>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</si>
  <si>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</si>
  <si>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</si>
  <si>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</si>
  <si>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</si>
  <si>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</si>
  <si>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</si>
  <si>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</si>
  <si>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</si>
  <si>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</si>
  <si>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</si>
  <si>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</si>
  <si>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</si>
  <si>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</si>
  <si>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</si>
  <si>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</si>
  <si>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</si>
  <si>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</si>
  <si>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</si>
  <si>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</si>
  <si>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</si>
  <si>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</si>
  <si>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</si>
  <si>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</si>
  <si>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</si>
  <si>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</si>
  <si>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</si>
  <si>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</si>
  <si>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</si>
  <si>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</si>
  <si>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</si>
  <si>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</si>
  <si>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</si>
  <si>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</si>
  <si>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</si>
  <si>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</si>
  <si>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</si>
  <si>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</si>
  <si>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</si>
  <si>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</si>
  <si>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</si>
  <si>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</si>
  <si>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</si>
  <si>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</si>
  <si>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</si>
  <si>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</si>
  <si>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</si>
  <si>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</si>
  <si>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</si>
  <si>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</si>
  <si>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</si>
  <si>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</si>
  <si>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</si>
  <si>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</si>
  <si>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</si>
  <si>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</si>
  <si>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</si>
  <si>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</si>
  <si>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</si>
  <si>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</si>
  <si>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</si>
  <si>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</si>
  <si>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</si>
  <si>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</si>
  <si>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</si>
  <si>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</si>
  <si>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</si>
  <si>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</si>
  <si>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</si>
  <si>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</si>
  <si>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</si>
  <si>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</si>
  <si>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</si>
  <si>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</si>
  <si>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</si>
  <si>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</si>
  <si>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</si>
  <si>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</si>
  <si>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</si>
  <si>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</si>
  <si>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</si>
  <si>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</si>
  <si>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</si>
  <si>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</si>
  <si>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</si>
  <si>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</si>
  <si>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</si>
  <si>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</si>
  <si>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</si>
  <si>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</si>
  <si>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</si>
  <si>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</si>
  <si>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</si>
  <si>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</si>
  <si>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</si>
  <si>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</si>
  <si>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</si>
  <si>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</si>
  <si>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</si>
  <si>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</si>
  <si>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</si>
  <si>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</si>
  <si>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</si>
  <si>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</si>
  <si>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</si>
  <si>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</si>
  <si>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</si>
  <si>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</si>
  <si>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</si>
  <si>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</si>
  <si>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</si>
  <si>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</si>
  <si>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</si>
  <si>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</si>
  <si>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</si>
  <si>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</si>
  <si>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</si>
  <si>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</si>
  <si>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</si>
  <si>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</si>
  <si>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</si>
  <si>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</si>
  <si>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</si>
  <si>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</si>
  <si>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</si>
  <si>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</si>
  <si>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</si>
  <si>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</si>
  <si>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</si>
  <si>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</si>
  <si>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</si>
  <si>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</si>
  <si>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</si>
  <si>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</si>
  <si>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</si>
  <si>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</si>
  <si>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</si>
  <si>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</si>
  <si>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</si>
  <si>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</si>
  <si>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</si>
  <si>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</si>
  <si>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</si>
  <si>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</si>
  <si>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</si>
  <si>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</si>
  <si>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</si>
  <si>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</si>
  <si>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</si>
  <si>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</si>
  <si>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</si>
  <si>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</si>
  <si>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</si>
  <si>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</si>
  <si>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</si>
  <si>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</si>
  <si>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</si>
  <si>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</si>
  <si>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</si>
  <si>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</si>
  <si>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</si>
  <si>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</si>
  <si>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</si>
  <si>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</si>
  <si>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</si>
  <si>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</si>
  <si>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</si>
  <si>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</si>
  <si>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</si>
  <si>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</si>
  <si>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</si>
  <si>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</si>
  <si>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</si>
  <si>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</si>
  <si>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</si>
  <si>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</si>
  <si>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</si>
  <si>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</si>
  <si>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</si>
  <si>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</si>
  <si>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</si>
  <si>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</si>
  <si>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</si>
  <si>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</si>
  <si>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</si>
  <si>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</si>
  <si>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</si>
  <si>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</si>
  <si>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</si>
  <si>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</si>
  <si>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</si>
  <si>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</si>
  <si>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</si>
  <si>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</si>
  <si>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</si>
  <si>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</si>
  <si>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</si>
  <si>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</si>
  <si>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</si>
  <si>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</si>
  <si>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</si>
  <si>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</si>
  <si>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</si>
  <si>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</si>
  <si>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</si>
  <si>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</si>
  <si>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</si>
  <si>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</si>
  <si>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</si>
  <si>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</si>
  <si>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</si>
  <si>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</si>
  <si>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</si>
  <si>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</si>
  <si>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</si>
  <si>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</si>
  <si>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</si>
  <si>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</si>
  <si>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</si>
  <si>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</si>
  <si>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</si>
  <si>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</si>
  <si>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</si>
  <si>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</si>
  <si>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</si>
  <si>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</si>
  <si>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</si>
  <si>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</si>
  <si>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</si>
  <si>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</si>
  <si>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</si>
  <si>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</si>
  <si>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</si>
  <si>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</si>
  <si>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</si>
  <si>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</si>
  <si>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</si>
  <si>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</si>
  <si>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</si>
  <si>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</si>
  <si>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</si>
  <si>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</si>
  <si>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</si>
  <si>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</si>
  <si>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</si>
  <si>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</si>
  <si>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</si>
  <si>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</si>
  <si>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</si>
  <si>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</si>
  <si>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</si>
  <si>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</si>
  <si>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</si>
  <si>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</si>
  <si>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</si>
  <si>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</si>
  <si>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</si>
  <si>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</si>
  <si>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</si>
  <si>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</si>
  <si>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</si>
  <si>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</si>
  <si>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</si>
  <si>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</si>
  <si>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</si>
  <si>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</si>
  <si>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</si>
  <si>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</si>
  <si>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</si>
  <si>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</si>
  <si>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</si>
  <si>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</si>
  <si>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</si>
  <si>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</si>
  <si>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</si>
  <si>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</si>
  <si>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</si>
  <si>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</si>
  <si>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</si>
  <si>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</si>
  <si>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</si>
  <si>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</si>
  <si>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</si>
  <si>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</si>
  <si>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</si>
  <si>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</si>
  <si>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</si>
  <si>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</si>
  <si>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</si>
  <si>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</si>
  <si>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</si>
  <si>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</si>
  <si>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</si>
  <si>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</si>
  <si>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</si>
  <si>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</si>
  <si>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</si>
  <si>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</si>
  <si>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</si>
  <si>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</si>
  <si>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</si>
  <si>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</si>
  <si>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</si>
  <si>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</si>
  <si>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</si>
  <si>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</si>
  <si>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</si>
  <si>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</si>
  <si>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</si>
  <si>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</si>
  <si>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</si>
  <si>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</si>
  <si>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</si>
  <si>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</si>
  <si>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</si>
  <si>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</si>
  <si>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</si>
  <si>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</si>
  <si>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</si>
  <si>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</si>
  <si>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</si>
  <si>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</si>
  <si>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</si>
  <si>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</si>
  <si>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</si>
  <si>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</si>
  <si>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</si>
  <si>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</si>
  <si>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</si>
  <si>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</si>
  <si>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</si>
  <si>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</si>
  <si>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</si>
  <si>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</si>
  <si>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</si>
  <si>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</si>
  <si>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</si>
  <si>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</si>
  <si>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</si>
  <si>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</si>
  <si>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</si>
  <si>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</si>
  <si>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</si>
  <si>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</si>
  <si>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</si>
  <si>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</si>
  <si>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</si>
  <si>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</si>
  <si>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</si>
  <si>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</si>
  <si>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</si>
  <si>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</si>
  <si>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</si>
  <si>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</si>
  <si>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</si>
  <si>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</si>
  <si>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</si>
  <si>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</si>
  <si>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</si>
  <si>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</si>
  <si>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</si>
  <si>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</si>
  <si>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</si>
  <si>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</si>
  <si>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</si>
  <si>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</si>
  <si>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</si>
  <si>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</si>
  <si>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</si>
  <si>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</si>
  <si>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</si>
  <si>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</si>
  <si>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</si>
  <si>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</si>
  <si>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</si>
  <si>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</si>
  <si>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</si>
  <si>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</si>
  <si>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</si>
  <si>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</si>
  <si>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</si>
  <si>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</si>
  <si>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</si>
  <si>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</si>
  <si>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</si>
  <si>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</si>
  <si>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</si>
  <si>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</si>
  <si>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</si>
  <si>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</si>
  <si>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</si>
  <si>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</si>
  <si>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</si>
  <si>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</si>
  <si>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</si>
  <si>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</si>
  <si>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</si>
  <si>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</si>
  <si>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</si>
  <si>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</si>
  <si>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</si>
  <si>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</si>
  <si>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</si>
  <si>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</si>
  <si>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</si>
  <si>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</si>
  <si>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</si>
  <si>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</si>
  <si>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</si>
  <si>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</si>
  <si>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</si>
  <si>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</si>
  <si>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</si>
  <si>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</si>
  <si>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</si>
  <si>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</si>
  <si>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</si>
  <si>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</si>
  <si>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</si>
  <si>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</si>
  <si>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</si>
  <si>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</si>
  <si>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</si>
  <si>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</si>
  <si>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</si>
  <si>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</si>
  <si>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</si>
  <si>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</si>
  <si>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</si>
  <si>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</si>
  <si>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</si>
  <si>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</si>
  <si>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</si>
  <si>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</si>
  <si>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</si>
  <si>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</si>
  <si>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</si>
  <si>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</si>
  <si>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</si>
  <si>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</si>
  <si>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</si>
  <si>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</si>
  <si>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</si>
  <si>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</si>
  <si>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</si>
  <si>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</si>
  <si>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</si>
  <si>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</si>
  <si>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</si>
  <si>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</si>
  <si>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</si>
  <si>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</si>
  <si>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</si>
  <si>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</si>
  <si>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</si>
  <si>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</si>
  <si>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</si>
  <si>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</si>
  <si>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</si>
  <si>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</si>
  <si>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</si>
  <si>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</si>
  <si>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</si>
  <si>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</si>
  <si>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</si>
  <si>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</si>
  <si>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</si>
  <si>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</si>
  <si>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</si>
  <si>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</si>
  <si>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</si>
  <si>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</si>
  <si>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</si>
  <si>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</si>
  <si>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</si>
  <si>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</si>
  <si>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</si>
  <si>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</si>
  <si>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</si>
  <si>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</si>
  <si>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</si>
  <si>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</si>
  <si>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</si>
  <si>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</si>
  <si>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</si>
  <si>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</si>
  <si>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</si>
  <si>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</si>
  <si>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</si>
  <si>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</si>
  <si>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</si>
  <si>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</si>
  <si>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</si>
  <si>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</si>
  <si>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</si>
  <si>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</si>
  <si>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</si>
  <si>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</si>
  <si>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</si>
  <si>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</si>
  <si>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</si>
  <si>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</si>
  <si>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</si>
  <si>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</si>
  <si>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</si>
  <si>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</si>
  <si>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</si>
  <si>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</si>
  <si>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</si>
  <si>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</si>
  <si>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</si>
  <si>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</si>
  <si>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</si>
  <si>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</si>
  <si>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</si>
  <si>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</si>
  <si>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</si>
  <si>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</si>
  <si>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</si>
  <si>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</si>
  <si>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</si>
  <si>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</si>
  <si>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</si>
  <si>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</si>
  <si>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</si>
  <si>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</si>
  <si>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</si>
  <si>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</si>
  <si>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</si>
  <si>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</si>
  <si>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</si>
  <si>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</si>
  <si>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</si>
  <si>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</si>
  <si>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</si>
  <si>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</si>
  <si>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</si>
  <si>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</si>
  <si>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</si>
  <si>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</si>
  <si>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</si>
  <si>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</si>
  <si>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</si>
  <si>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</si>
  <si>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</si>
  <si>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</si>
  <si>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</si>
  <si>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</si>
  <si>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</si>
  <si>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</si>
  <si>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</si>
  <si>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</si>
  <si>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</si>
  <si>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</si>
  <si>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</si>
  <si>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</si>
  <si>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</si>
  <si>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</si>
  <si>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</si>
  <si>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</si>
  <si>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</si>
  <si>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</si>
  <si>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</si>
  <si>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</si>
  <si>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</si>
  <si>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</si>
  <si>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</si>
  <si>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</si>
  <si>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</si>
  <si>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</si>
  <si>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</si>
  <si>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</si>
  <si>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</si>
  <si>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</si>
  <si>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</si>
  <si>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</si>
  <si>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</si>
  <si>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</si>
  <si>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</si>
  <si>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</si>
  <si>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</si>
  <si>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</si>
  <si>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</si>
  <si>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</si>
  <si>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</si>
  <si>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</si>
  <si>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</si>
  <si>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</si>
  <si>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</si>
  <si>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</si>
  <si>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</si>
  <si>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</si>
  <si>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</si>
  <si>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</si>
  <si>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</si>
  <si>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</si>
  <si>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</si>
  <si>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</si>
  <si>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</si>
  <si>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</si>
  <si>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</si>
  <si>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</si>
  <si>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</si>
  <si>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</si>
  <si>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</si>
  <si>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</si>
  <si>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</si>
  <si>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</si>
  <si>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</si>
  <si>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</si>
  <si>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</si>
  <si>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</si>
  <si>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</si>
  <si>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</si>
  <si>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</si>
  <si>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</si>
  <si>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</si>
  <si>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</si>
  <si>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</si>
  <si>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</si>
  <si>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</si>
  <si>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</si>
  <si>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</si>
  <si>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</si>
  <si>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</si>
  <si>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</si>
  <si>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</si>
  <si>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</si>
  <si>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</si>
  <si>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</si>
  <si>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</si>
  <si>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</si>
  <si>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</si>
  <si>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</si>
  <si>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</si>
  <si>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</si>
  <si>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</si>
  <si>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</si>
  <si>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</si>
  <si>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</si>
  <si>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</si>
  <si>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</si>
  <si>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</si>
  <si>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</si>
  <si>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</si>
  <si>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</si>
  <si>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</si>
  <si>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</si>
  <si>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</si>
  <si>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</si>
  <si>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</si>
  <si>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</si>
  <si>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</si>
  <si>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</si>
  <si>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</si>
  <si>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</si>
  <si>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</si>
  <si>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</si>
  <si>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</si>
  <si>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</si>
  <si>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</si>
  <si>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</si>
  <si>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</si>
  <si>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</si>
  <si>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</si>
  <si>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</si>
  <si>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</si>
  <si>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</si>
  <si>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</si>
  <si>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</si>
  <si>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</si>
  <si>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</si>
  <si>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</si>
  <si>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</si>
  <si>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</si>
  <si>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</si>
  <si>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</si>
  <si>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</si>
  <si>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</si>
  <si>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</si>
  <si>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</si>
  <si>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</si>
  <si>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</si>
  <si>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</si>
  <si>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</si>
  <si>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</si>
  <si>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</si>
  <si>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</si>
  <si>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</si>
  <si>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</si>
  <si>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</si>
  <si>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</si>
  <si>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</si>
  <si>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</si>
  <si>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</si>
  <si>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</si>
  <si>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</si>
  <si>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</si>
  <si>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</si>
  <si>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</si>
  <si>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</si>
  <si>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</si>
  <si>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</si>
  <si>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</si>
  <si>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</si>
  <si>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</si>
  <si>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</si>
  <si>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</si>
  <si>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</si>
  <si>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</si>
  <si>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</si>
  <si>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</si>
  <si>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</si>
  <si>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</si>
  <si>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</si>
  <si>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</si>
  <si>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</si>
  <si>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</si>
  <si>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</si>
  <si>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</si>
  <si>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</si>
  <si>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</si>
  <si>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</si>
  <si>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</si>
  <si>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</si>
  <si>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</si>
  <si>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</si>
  <si>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</si>
  <si>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</si>
  <si>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</si>
  <si>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</si>
  <si>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</si>
  <si>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</si>
  <si>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</si>
  <si>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</si>
  <si>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</si>
  <si>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</si>
  <si>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</si>
  <si>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</si>
  <si>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</si>
  <si>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</si>
  <si>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</si>
  <si>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</si>
  <si>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</si>
  <si>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</si>
  <si>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</si>
  <si>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</si>
  <si>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</si>
  <si>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</si>
  <si>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</si>
  <si>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</si>
  <si>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</si>
  <si>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</si>
  <si>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</si>
  <si>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</si>
  <si>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</si>
  <si>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</si>
  <si>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</si>
  <si>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</si>
  <si>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</si>
  <si>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</si>
  <si>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</si>
  <si>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</si>
  <si>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</si>
  <si>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</si>
  <si>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</si>
  <si>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</si>
  <si>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</si>
  <si>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</si>
  <si>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</si>
  <si>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</si>
  <si>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</si>
  <si>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</si>
  <si>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</si>
  <si>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</si>
  <si>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</si>
  <si>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</si>
  <si>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</si>
  <si>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</si>
  <si>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</si>
  <si>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</si>
  <si>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</si>
  <si>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</si>
  <si>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</si>
  <si>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</si>
  <si>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</si>
  <si>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</si>
  <si>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</si>
  <si>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</si>
  <si>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</si>
  <si>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</si>
  <si>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</si>
  <si>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</si>
  <si>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</si>
  <si>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</si>
  <si>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</si>
  <si>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</si>
  <si>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</si>
  <si>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</si>
  <si>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</si>
  <si>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</si>
  <si>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</si>
  <si>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</si>
  <si>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</si>
  <si>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</si>
  <si>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</si>
  <si>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</si>
  <si>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</si>
  <si>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</si>
  <si>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</si>
  <si>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</si>
  <si>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</si>
  <si>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</si>
  <si>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</si>
  <si>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</si>
  <si>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</si>
  <si>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</si>
  <si>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</si>
  <si>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</si>
  <si>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</si>
  <si>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</si>
  <si>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</si>
  <si>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</si>
  <si>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</si>
  <si>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</si>
  <si>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</si>
  <si>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</si>
  <si>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</si>
  <si>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</si>
  <si>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</si>
  <si>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</si>
  <si>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</si>
  <si>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</si>
  <si>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</si>
  <si>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</si>
  <si>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</si>
  <si>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</si>
  <si>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</si>
  <si>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</si>
  <si>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</si>
  <si>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</si>
  <si>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</si>
  <si>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</si>
  <si>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</si>
  <si>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</si>
  <si>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</si>
  <si>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</si>
  <si>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</si>
  <si>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</si>
  <si>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</si>
  <si>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</si>
  <si>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</si>
  <si>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</si>
  <si>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</si>
  <si>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</si>
  <si>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</si>
  <si>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</si>
  <si>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</si>
  <si>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</si>
  <si>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</si>
  <si>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</si>
  <si>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</si>
  <si>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</si>
  <si>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</si>
  <si>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</si>
  <si>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</si>
  <si>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</si>
  <si>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</si>
  <si>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</si>
  <si>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</si>
  <si>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</si>
  <si>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</si>
  <si>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</si>
  <si>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</si>
  <si>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</si>
  <si>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</si>
  <si>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</si>
  <si>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</si>
  <si>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</si>
  <si>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</si>
  <si>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</si>
  <si>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</si>
  <si>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</si>
  <si>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</si>
  <si>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</si>
  <si>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</si>
  <si>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</si>
  <si>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</si>
  <si>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</si>
  <si>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</si>
  <si>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</si>
  <si>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</si>
  <si>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</si>
  <si>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</si>
  <si>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</si>
  <si>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</si>
  <si>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</si>
  <si>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</si>
  <si>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</si>
  <si>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</si>
  <si>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</si>
  <si>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</si>
  <si>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</si>
  <si>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</si>
  <si>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</si>
  <si>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</si>
  <si>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</si>
  <si>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</si>
  <si>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</si>
  <si>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</si>
  <si>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</si>
  <si>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</si>
  <si>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</si>
  <si>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</si>
  <si>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</si>
  <si>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</si>
  <si>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</si>
  <si>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</si>
  <si>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</si>
  <si>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</si>
  <si>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</si>
  <si>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</si>
  <si>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</si>
  <si>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</si>
  <si>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</si>
  <si>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</si>
  <si>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</si>
  <si>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</si>
  <si>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</si>
  <si>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</si>
  <si>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</si>
  <si>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</si>
  <si>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</si>
  <si>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</si>
  <si>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</si>
  <si>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</si>
  <si>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</si>
  <si>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</si>
  <si>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</si>
  <si>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</si>
  <si>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</si>
  <si>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</si>
  <si>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</si>
  <si>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</si>
  <si>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</si>
  <si>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</si>
  <si>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</si>
  <si>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</si>
  <si>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</si>
  <si>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</si>
  <si>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</si>
  <si>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</si>
  <si>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</si>
  <si>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</si>
  <si>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</si>
  <si>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</si>
  <si>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</si>
  <si>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</si>
  <si>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</si>
  <si>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</si>
  <si>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</si>
  <si>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</si>
  <si>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</si>
  <si>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</si>
  <si>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</si>
  <si>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</si>
  <si>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</si>
  <si>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</si>
  <si>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</si>
  <si>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</si>
  <si>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</si>
  <si>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</si>
  <si>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</si>
  <si>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</si>
  <si>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</si>
  <si>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</si>
  <si>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</si>
  <si>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</si>
  <si>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</si>
  <si>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</si>
  <si>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</si>
  <si>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</si>
  <si>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</si>
  <si>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</si>
  <si>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</si>
  <si>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</si>
  <si>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</si>
  <si>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</si>
  <si>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</si>
  <si>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</si>
  <si>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</si>
  <si>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</si>
  <si>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</si>
  <si>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</si>
  <si>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</si>
  <si>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</si>
  <si>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</si>
  <si>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</si>
  <si>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</si>
  <si>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</si>
  <si>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</si>
  <si>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</si>
  <si>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</si>
  <si>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</si>
  <si>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</si>
  <si>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</si>
  <si>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</si>
  <si>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</si>
  <si>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</si>
  <si>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</si>
  <si>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</si>
  <si>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</si>
  <si>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</si>
  <si>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</si>
  <si>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</si>
  <si>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</si>
  <si>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</si>
  <si>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</si>
  <si>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</si>
  <si>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</si>
  <si>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</si>
  <si>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</si>
  <si>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</si>
  <si>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</si>
  <si>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</si>
  <si>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</si>
  <si>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</si>
  <si>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</si>
  <si>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</si>
  <si>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</si>
  <si>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</si>
  <si>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</si>
  <si>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</si>
  <si>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</si>
  <si>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</si>
  <si>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</si>
  <si>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</si>
  <si>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</si>
  <si>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</si>
  <si>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</si>
  <si>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</si>
  <si>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</si>
  <si>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</si>
  <si>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</si>
  <si>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</si>
  <si>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</si>
  <si>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</si>
  <si>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</si>
  <si>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</si>
  <si>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</si>
  <si>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</si>
  <si>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</si>
  <si>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</si>
  <si>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</si>
  <si>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</si>
  <si>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</si>
  <si>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</si>
  <si>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</si>
  <si>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</si>
  <si>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</si>
  <si>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</si>
  <si>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</si>
  <si>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</si>
  <si>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</si>
  <si>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</si>
  <si>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</si>
  <si>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</si>
  <si>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</si>
  <si>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</si>
  <si>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</si>
  <si>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</si>
  <si>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</si>
  <si>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</si>
  <si>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</si>
  <si>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</si>
  <si>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</si>
  <si>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</si>
  <si>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</si>
  <si>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</si>
  <si>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</si>
  <si>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</si>
  <si>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</si>
  <si>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</si>
  <si>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</si>
  <si>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</si>
  <si>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</si>
  <si>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</si>
  <si>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</si>
  <si>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</si>
  <si>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</si>
  <si>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</si>
  <si>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</si>
  <si>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</si>
  <si>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</si>
  <si>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</si>
  <si>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</si>
  <si>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</si>
  <si>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</si>
  <si>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</si>
  <si>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</si>
  <si>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</si>
  <si>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</si>
  <si>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</si>
  <si>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</si>
  <si>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</si>
  <si>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</si>
  <si>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</si>
  <si>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</si>
  <si>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</si>
  <si>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</si>
  <si>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</si>
  <si>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</si>
  <si>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</si>
  <si>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</si>
  <si>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</si>
  <si>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</si>
  <si>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</si>
  <si>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</si>
  <si>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</si>
  <si>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</si>
  <si>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</si>
  <si>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</si>
  <si>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</si>
  <si>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</si>
  <si>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</si>
  <si>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</si>
  <si>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</si>
  <si>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</si>
  <si>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</si>
  <si>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</si>
  <si>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</si>
  <si>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</si>
  <si>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</si>
  <si>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</si>
  <si>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</si>
  <si>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</si>
  <si>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</si>
  <si>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</si>
  <si>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</si>
  <si>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</si>
  <si>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</si>
  <si>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</si>
  <si>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</si>
  <si>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</si>
  <si>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</si>
  <si>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</si>
  <si>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</si>
  <si>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</si>
  <si>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</si>
  <si>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</si>
  <si>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</si>
  <si>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</si>
  <si>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</si>
  <si>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</si>
  <si>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</si>
  <si>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</si>
  <si>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</si>
  <si>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</si>
  <si>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</si>
  <si>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</si>
  <si>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</si>
  <si>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</si>
  <si>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</si>
  <si>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</si>
  <si>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</si>
  <si>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</si>
  <si>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</si>
  <si>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</si>
  <si>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</si>
  <si>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</si>
  <si>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</si>
  <si>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</si>
  <si>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</si>
  <si>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</si>
  <si>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</si>
  <si>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</si>
  <si>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</si>
  <si>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</si>
  <si>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</si>
  <si>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</si>
  <si>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</si>
  <si>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</si>
  <si>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</si>
  <si>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</si>
  <si>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</si>
  <si>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</si>
  <si>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</si>
  <si>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</si>
  <si>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</si>
  <si>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</si>
  <si>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</si>
  <si>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</si>
  <si>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</si>
  <si>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</si>
  <si>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</si>
  <si>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</si>
  <si>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</si>
  <si>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</si>
  <si>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</si>
  <si>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</si>
  <si>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</si>
  <si>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</si>
  <si>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</si>
  <si>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</si>
  <si>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</si>
  <si>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</si>
  <si>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</si>
  <si>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</si>
  <si>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</si>
  <si>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</si>
  <si>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</si>
  <si>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</si>
  <si>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</si>
  <si>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</si>
  <si>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</si>
  <si>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</si>
  <si>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</si>
  <si>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</si>
  <si>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</si>
  <si>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</si>
  <si>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</si>
  <si>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</si>
  <si>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</si>
  <si>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</si>
  <si>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</si>
  <si>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</si>
  <si>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</si>
  <si>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</si>
  <si>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</si>
  <si>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</si>
  <si>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</si>
  <si>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</si>
  <si>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</si>
  <si>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</si>
  <si>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</si>
  <si>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</si>
  <si>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</si>
  <si>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</si>
  <si>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</si>
  <si>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</si>
  <si>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</si>
  <si>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</si>
  <si>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</si>
  <si>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</si>
  <si>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</si>
  <si>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</si>
  <si>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</si>
  <si>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</si>
  <si>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</si>
  <si>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</si>
  <si>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</si>
  <si>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</si>
  <si>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</si>
  <si>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</si>
  <si>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</si>
  <si>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</si>
  <si>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</si>
  <si>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</si>
  <si>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</si>
  <si>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</si>
  <si>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</si>
  <si>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</si>
  <si>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</si>
  <si>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</si>
  <si>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</si>
  <si>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</si>
  <si>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</si>
  <si>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</si>
  <si>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</si>
  <si>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</si>
  <si>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</si>
  <si>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</si>
  <si>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</si>
  <si>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</si>
  <si>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</si>
  <si>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</si>
  <si>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</si>
  <si>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</si>
  <si>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</si>
  <si>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</si>
  <si>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</si>
  <si>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</si>
  <si>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</si>
  <si>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</si>
  <si>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</si>
  <si>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</si>
  <si>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</si>
  <si>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</si>
  <si>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</si>
  <si>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</si>
  <si>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</si>
  <si>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</si>
  <si>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</si>
  <si>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</si>
  <si>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</si>
  <si>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</si>
  <si>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</si>
  <si>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</si>
  <si>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</si>
  <si>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</si>
  <si>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</si>
  <si>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</si>
  <si>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</si>
  <si>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</si>
  <si>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</si>
  <si>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</si>
  <si>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</si>
  <si>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</si>
  <si>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</si>
  <si>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</si>
  <si>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</si>
  <si>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</si>
  <si>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</si>
  <si>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</si>
  <si>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</si>
  <si>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</si>
  <si>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</si>
  <si>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</si>
  <si>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</si>
  <si>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</si>
  <si>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</si>
  <si>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</si>
  <si>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</si>
  <si>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</si>
  <si>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</si>
  <si>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</si>
  <si>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</si>
  <si>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</si>
  <si>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</si>
  <si>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</si>
  <si>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</si>
  <si>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</si>
  <si>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</si>
  <si>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</si>
  <si>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</si>
  <si>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</si>
  <si>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</si>
  <si>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</si>
  <si>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</si>
  <si>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</si>
  <si>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</si>
  <si>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</si>
  <si>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</si>
  <si>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</si>
  <si>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</si>
  <si>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</si>
  <si>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</si>
  <si>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</si>
  <si>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</si>
  <si>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</si>
  <si>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</si>
  <si>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</si>
  <si>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</si>
  <si>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</si>
  <si>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</si>
  <si>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</si>
  <si>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</si>
  <si>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</si>
  <si>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</si>
  <si>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</si>
  <si>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</si>
  <si>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</si>
  <si>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</si>
  <si>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</si>
  <si>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</si>
  <si>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</si>
  <si>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</si>
  <si>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</si>
  <si>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</si>
  <si>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</si>
  <si>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</si>
  <si>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</si>
  <si>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</si>
  <si>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</si>
  <si>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</si>
  <si>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</si>
  <si>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</si>
  <si>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</si>
  <si>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</si>
  <si>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</si>
  <si>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</si>
  <si>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</si>
  <si>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</si>
  <si>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</si>
  <si>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</si>
  <si>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</si>
  <si>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</si>
  <si>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</si>
  <si>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</si>
  <si>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</si>
  <si>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</si>
  <si>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</si>
  <si>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</si>
  <si>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</si>
  <si>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</si>
  <si>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</si>
  <si>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</si>
  <si>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</si>
  <si>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</si>
  <si>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</si>
  <si>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</si>
  <si>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</si>
  <si>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</si>
  <si>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</si>
  <si>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</si>
  <si>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</si>
  <si>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</si>
  <si>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</si>
  <si>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</si>
  <si>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</si>
  <si>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</si>
  <si>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</si>
  <si>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</si>
  <si>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</si>
  <si>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</si>
  <si>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</si>
  <si>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</si>
  <si>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</si>
  <si>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</si>
  <si>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</si>
  <si>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</si>
  <si>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</si>
  <si>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</si>
  <si>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</si>
  <si>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</si>
  <si>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</si>
  <si>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</si>
  <si>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</si>
  <si>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</si>
  <si>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</si>
  <si>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</si>
  <si>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</si>
  <si>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</si>
  <si>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</si>
  <si>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</si>
  <si>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</si>
  <si>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</si>
  <si>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</si>
  <si>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</si>
  <si>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</si>
  <si>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</si>
  <si>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</si>
  <si>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</si>
  <si>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</si>
  <si>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</si>
  <si>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</si>
  <si>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</si>
  <si>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</si>
  <si>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</si>
  <si>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</si>
  <si>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</si>
  <si>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</si>
  <si>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</si>
  <si>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</si>
  <si>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</si>
  <si>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</si>
  <si>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</si>
  <si>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</si>
  <si>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</si>
  <si>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</si>
  <si>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</si>
  <si>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</si>
  <si>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</si>
  <si>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</si>
  <si>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</si>
  <si>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</si>
  <si>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</si>
  <si>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</si>
  <si>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</si>
  <si>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</si>
  <si>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</si>
  <si>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</si>
  <si>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</si>
  <si>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</si>
  <si>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</si>
  <si>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</si>
  <si>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</si>
  <si>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</si>
  <si>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</si>
  <si>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</si>
  <si>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</si>
  <si>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</si>
  <si>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</si>
  <si>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</si>
  <si>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</si>
  <si>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</si>
  <si>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</si>
  <si>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</si>
  <si>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</si>
  <si>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</si>
  <si>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</si>
  <si>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</si>
  <si>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</si>
  <si>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</si>
  <si>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</si>
  <si>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</si>
  <si>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</si>
  <si>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</si>
  <si>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</si>
  <si>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</si>
  <si>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</si>
  <si>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</si>
  <si>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</si>
  <si>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</si>
  <si>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</si>
  <si>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</si>
  <si>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</si>
  <si>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</si>
  <si>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</si>
  <si>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</si>
  <si>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</si>
  <si>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</si>
  <si>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</si>
  <si>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</si>
  <si>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</si>
  <si>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</si>
  <si>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</si>
  <si>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</si>
  <si>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</si>
  <si>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</si>
  <si>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</si>
  <si>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</si>
  <si>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</si>
  <si>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</si>
  <si>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</si>
  <si>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</si>
  <si>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</si>
  <si>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</si>
  <si>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</si>
  <si>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</si>
  <si>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</si>
  <si>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</si>
  <si>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</si>
  <si>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</si>
  <si>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</si>
  <si>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</si>
  <si>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</si>
  <si>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</si>
  <si>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</si>
  <si>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</si>
  <si>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</si>
  <si>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</si>
  <si>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</si>
  <si>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</si>
  <si>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</si>
  <si>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</si>
  <si>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</si>
  <si>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</si>
  <si>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</si>
  <si>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</si>
  <si>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</si>
  <si>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</si>
  <si>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</si>
  <si>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</si>
  <si>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</si>
  <si>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</si>
  <si>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</si>
  <si>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</si>
  <si>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</si>
  <si>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</si>
  <si>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</si>
  <si>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</si>
  <si>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</si>
  <si>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</si>
  <si>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</si>
  <si>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</si>
  <si>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</si>
  <si>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</si>
  <si>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</si>
  <si>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</si>
  <si>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</si>
  <si>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</si>
  <si>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</si>
  <si>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</si>
  <si>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</si>
  <si>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</si>
  <si>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</si>
  <si>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</si>
  <si>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</si>
  <si>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</si>
  <si>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</si>
  <si>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</si>
  <si>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</si>
  <si>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</si>
  <si>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</si>
  <si>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</si>
  <si>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</si>
  <si>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</si>
  <si>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</si>
  <si>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</si>
  <si>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</si>
  <si>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</si>
  <si>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</si>
  <si>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</si>
  <si>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</si>
  <si>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</si>
  <si>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</si>
  <si>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</si>
  <si>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</si>
  <si>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</si>
  <si>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</si>
  <si>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</si>
  <si>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</si>
  <si>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</si>
  <si>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</si>
  <si>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</si>
  <si>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</si>
  <si>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</si>
  <si>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</si>
  <si>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</si>
  <si>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</si>
  <si>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</si>
  <si>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</si>
  <si>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</si>
  <si>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</si>
  <si>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</si>
  <si>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</si>
  <si>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</si>
  <si>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</si>
  <si>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</si>
  <si>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</si>
  <si>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</si>
  <si>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</si>
  <si>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</si>
  <si>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</si>
  <si>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</si>
  <si>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</si>
  <si>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</si>
  <si>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</si>
  <si>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</si>
  <si>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</si>
  <si>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</si>
  <si>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</si>
  <si>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</si>
  <si>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</si>
  <si>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</si>
  <si>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</si>
  <si>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</si>
  <si>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</si>
  <si>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</si>
  <si>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</si>
  <si>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</si>
  <si>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</si>
  <si>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</si>
  <si>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</si>
  <si>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</si>
  <si>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</si>
  <si>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</si>
  <si>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</si>
  <si>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</si>
  <si>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</si>
  <si>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</si>
  <si>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</si>
  <si>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</si>
  <si>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</si>
  <si>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</si>
  <si>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</si>
  <si>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</si>
  <si>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</si>
  <si>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</si>
  <si>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</si>
  <si>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</si>
  <si>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</si>
  <si>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</si>
  <si>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</si>
  <si>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</si>
  <si>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</si>
  <si>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</si>
  <si>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</si>
  <si>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</si>
  <si>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</si>
  <si>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</si>
  <si>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</si>
  <si>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</si>
  <si>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</si>
  <si>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</si>
  <si>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</si>
  <si>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</si>
  <si>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</si>
  <si>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</si>
  <si>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</si>
  <si>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</si>
  <si>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</si>
  <si>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</si>
  <si>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</si>
  <si>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</si>
  <si>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</si>
  <si>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</si>
  <si>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</si>
  <si>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</si>
  <si>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</si>
  <si>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</si>
  <si>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</si>
  <si>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</si>
  <si>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</si>
  <si>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</si>
  <si>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</si>
  <si>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</si>
  <si>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</si>
  <si>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</si>
  <si>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</si>
  <si>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</si>
  <si>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</si>
  <si>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</si>
  <si>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</si>
  <si>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</si>
  <si>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</si>
  <si>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</si>
  <si>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</si>
  <si>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</si>
  <si>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</si>
  <si>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</si>
  <si>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</si>
  <si>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</si>
  <si>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</si>
  <si>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</si>
  <si>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</si>
  <si>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</si>
  <si>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</si>
  <si>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</si>
  <si>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</si>
  <si>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</si>
  <si>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</si>
  <si>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</si>
  <si>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</si>
  <si>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</si>
  <si>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</si>
  <si>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</si>
  <si>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</si>
  <si>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</si>
  <si>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</si>
  <si>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</si>
  <si>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</si>
  <si>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</si>
  <si>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</si>
  <si>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</si>
  <si>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</si>
  <si>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</si>
  <si>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</si>
  <si>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</si>
  <si>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</si>
  <si>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</si>
  <si>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</si>
  <si>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</si>
  <si>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</si>
  <si>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</si>
  <si>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</si>
  <si>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</si>
  <si>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</si>
  <si>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</si>
  <si>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</si>
  <si>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</si>
  <si>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</si>
  <si>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</si>
  <si>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</si>
  <si>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</si>
  <si>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</si>
  <si>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</si>
  <si>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</si>
  <si>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</si>
  <si>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</si>
  <si>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</si>
  <si>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</si>
  <si>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</si>
  <si>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</si>
  <si>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</si>
  <si>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</si>
  <si>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</si>
  <si>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</si>
  <si>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</si>
  <si>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</si>
  <si>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</si>
  <si>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</si>
  <si>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</si>
  <si>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</si>
  <si>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</si>
  <si>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</si>
  <si>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</si>
  <si>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</si>
  <si>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</si>
  <si>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</si>
  <si>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</si>
  <si>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</si>
  <si>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</si>
  <si>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</si>
  <si>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</si>
  <si>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</si>
  <si>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</si>
  <si>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</si>
  <si>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</si>
  <si>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</si>
  <si>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</si>
  <si>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</si>
  <si>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</si>
  <si>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</si>
  <si>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</si>
  <si>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</si>
  <si>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</si>
  <si>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</si>
  <si>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</si>
  <si>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</si>
  <si>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</si>
  <si>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</si>
  <si>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</si>
  <si>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</si>
  <si>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</si>
  <si>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</si>
  <si>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</si>
  <si>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</si>
  <si>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</si>
  <si>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</si>
  <si>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</si>
  <si>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</si>
  <si>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</si>
  <si>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</si>
  <si>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</si>
  <si>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</si>
  <si>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</si>
  <si>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</si>
  <si>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</si>
  <si>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</si>
  <si>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</si>
  <si>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</si>
  <si>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</si>
  <si>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</si>
  <si>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</si>
  <si>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</si>
  <si>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</si>
  <si>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</si>
  <si>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</si>
  <si>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</si>
  <si>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</si>
  <si>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</si>
  <si>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</si>
  <si>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</si>
  <si>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</si>
  <si>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</si>
  <si>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</si>
  <si>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</si>
  <si>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</si>
  <si>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</si>
  <si>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</si>
  <si>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</si>
  <si>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</si>
  <si>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</si>
  <si>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</si>
  <si>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</si>
  <si>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</si>
  <si>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</si>
  <si>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</si>
  <si>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</si>
  <si>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</si>
  <si>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</si>
  <si>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</si>
  <si>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</si>
  <si>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</si>
  <si>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</si>
  <si>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</si>
  <si>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</si>
  <si>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</si>
  <si>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</si>
  <si>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</si>
  <si>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</si>
  <si>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</si>
  <si>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</si>
  <si>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</si>
  <si>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</si>
  <si>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</si>
  <si>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</si>
  <si>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</si>
  <si>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</si>
  <si>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</si>
  <si>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</si>
  <si>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</si>
  <si>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</si>
  <si>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</si>
  <si>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</si>
  <si>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</si>
  <si>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</si>
  <si>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</si>
  <si>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</si>
  <si>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</si>
  <si>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</si>
  <si>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</si>
  <si>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</si>
  <si>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</si>
  <si>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</si>
  <si>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</si>
  <si>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</si>
  <si>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</si>
  <si>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</si>
  <si>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</si>
  <si>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</si>
  <si>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</si>
  <si>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</si>
  <si>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</si>
  <si>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</si>
  <si>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</si>
  <si>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</si>
  <si>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</si>
  <si>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</si>
  <si>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</si>
  <si>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</si>
  <si>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</si>
  <si>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</si>
  <si>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</si>
  <si>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</si>
  <si>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</si>
  <si>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</si>
  <si>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</si>
  <si>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</si>
  <si>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</si>
  <si>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</si>
  <si>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</si>
  <si>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</si>
  <si>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</si>
  <si>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</si>
  <si>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</si>
  <si>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</si>
  <si>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</si>
  <si>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</si>
  <si>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</si>
  <si>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</si>
  <si>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</si>
  <si>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</si>
  <si>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</si>
  <si>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</si>
  <si>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</si>
  <si>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</si>
  <si>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</si>
  <si>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</si>
  <si>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</si>
  <si>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</si>
  <si>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</si>
  <si>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</si>
  <si>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</si>
  <si>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</si>
  <si>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</si>
  <si>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</si>
  <si>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</si>
  <si>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</si>
  <si>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</si>
  <si>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</si>
  <si>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</si>
  <si>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</si>
  <si>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</si>
  <si>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</si>
  <si>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</si>
  <si>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</si>
  <si>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</si>
  <si>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</si>
  <si>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</si>
  <si>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</si>
  <si>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</si>
  <si>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</si>
  <si>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</si>
  <si>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</si>
  <si>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</si>
  <si>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</si>
  <si>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</si>
  <si>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</si>
  <si>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</si>
  <si>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</si>
  <si>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</si>
  <si>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</si>
  <si>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</si>
  <si>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</si>
  <si>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</si>
  <si>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</si>
  <si>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</si>
  <si>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</si>
  <si>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</si>
  <si>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</si>
  <si>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</si>
  <si>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</si>
  <si>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</si>
  <si>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</si>
  <si>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</si>
  <si>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</si>
  <si>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</si>
  <si>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</si>
  <si>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</si>
  <si>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</si>
  <si>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</si>
  <si>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</si>
  <si>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</si>
  <si>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</si>
  <si>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</si>
  <si>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</si>
  <si>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</si>
  <si>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</si>
  <si>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</si>
  <si>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</si>
  <si>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</si>
  <si>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</si>
  <si>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</si>
  <si>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</si>
  <si>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</si>
  <si>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</si>
  <si>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</si>
  <si>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</si>
  <si>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</si>
  <si>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</si>
  <si>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</si>
  <si>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</si>
  <si>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</si>
  <si>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</si>
  <si>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</si>
  <si>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</si>
  <si>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</si>
  <si>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</si>
  <si>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</si>
  <si>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</si>
  <si>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</si>
  <si>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</si>
  <si>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</si>
  <si>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</si>
  <si>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</si>
  <si>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</si>
  <si>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</si>
  <si>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</si>
  <si>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</si>
  <si>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</si>
  <si>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</si>
  <si>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</si>
  <si>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</si>
  <si>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</si>
  <si>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</si>
  <si>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</si>
  <si>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</si>
  <si>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</si>
  <si>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</si>
  <si>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</si>
  <si>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</si>
  <si>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</si>
  <si>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</si>
  <si>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</si>
  <si>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</si>
  <si>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</si>
  <si>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</si>
  <si>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</si>
  <si>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</si>
  <si>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</si>
  <si>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</si>
  <si>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</si>
  <si>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</si>
  <si>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</si>
  <si>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</si>
  <si>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</si>
  <si>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</si>
  <si>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</si>
  <si>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</si>
  <si>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</si>
  <si>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</si>
  <si>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</si>
  <si>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</si>
  <si>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</si>
  <si>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</si>
  <si>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</si>
  <si>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</si>
  <si>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</si>
  <si>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</si>
  <si>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</si>
  <si>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</si>
  <si>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</si>
  <si>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</si>
  <si>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</si>
  <si>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</si>
  <si>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</si>
  <si>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</si>
  <si>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</si>
  <si>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</si>
  <si>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</si>
  <si>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</si>
  <si>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</si>
  <si>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</si>
  <si>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</si>
  <si>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</si>
  <si>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</si>
  <si>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</si>
  <si>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</si>
  <si>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</si>
  <si>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</si>
  <si>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</si>
  <si>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</si>
  <si>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</si>
  <si>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</si>
  <si>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</si>
  <si>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</si>
  <si>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</si>
  <si>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</si>
  <si>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</si>
  <si>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</si>
  <si>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</si>
  <si>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</si>
  <si>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</si>
  <si>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</si>
  <si>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</si>
  <si>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</si>
  <si>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</si>
  <si>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</si>
  <si>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</si>
  <si>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</si>
  <si>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</si>
  <si>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</si>
  <si>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</si>
  <si>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</si>
  <si>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</si>
  <si>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</si>
  <si>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</si>
  <si>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</si>
  <si>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</si>
  <si>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</si>
  <si>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</si>
  <si>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</si>
  <si>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</si>
  <si>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</si>
  <si>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</si>
  <si>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</si>
  <si>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</si>
  <si>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</si>
  <si>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</si>
  <si>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</si>
  <si>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</si>
  <si>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</si>
  <si>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</si>
  <si>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</si>
  <si>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</si>
  <si>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</si>
  <si>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</si>
  <si>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</si>
  <si>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</si>
  <si>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</si>
  <si>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</si>
  <si>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</si>
  <si>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</si>
  <si>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</si>
  <si>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</si>
  <si>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</si>
  <si>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</si>
  <si>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</si>
  <si>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</si>
  <si>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</si>
  <si>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</si>
  <si>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</si>
  <si>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</si>
  <si>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</si>
  <si>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</si>
  <si>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</si>
  <si>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</si>
  <si>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</si>
  <si>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</si>
  <si>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</si>
  <si>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</si>
  <si>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</si>
  <si>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</si>
  <si>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</si>
  <si>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</si>
  <si>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</si>
  <si>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</si>
  <si>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</si>
  <si>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</si>
  <si>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</si>
  <si>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</si>
  <si>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</si>
  <si>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</si>
  <si>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</si>
  <si>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</si>
  <si>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</si>
  <si>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</si>
  <si>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</si>
  <si>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</si>
  <si>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</si>
  <si>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</si>
  <si>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</si>
  <si>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</si>
  <si>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</si>
  <si>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</si>
  <si>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</si>
  <si>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</si>
  <si>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</si>
  <si>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</si>
  <si>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</si>
  <si>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</si>
  <si>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</si>
  <si>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</si>
  <si>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</si>
  <si>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</si>
  <si>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</si>
  <si>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</si>
  <si>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</si>
  <si>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</si>
  <si>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</si>
  <si>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</si>
  <si>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</si>
  <si>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</si>
  <si>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</si>
  <si>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</si>
  <si>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</si>
  <si>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</si>
  <si>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</si>
  <si>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</si>
  <si>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</si>
  <si>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</si>
  <si>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</si>
  <si>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</si>
  <si>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</si>
  <si>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</si>
  <si>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</si>
  <si>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</si>
  <si>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</si>
  <si>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</si>
  <si>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</si>
  <si>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</si>
  <si>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</si>
  <si>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</si>
  <si>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</si>
  <si>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</si>
  <si>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</si>
  <si>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</si>
  <si>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</si>
  <si>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</si>
  <si>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</si>
  <si>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</si>
  <si>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</si>
  <si>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</si>
  <si>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</si>
  <si>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</si>
  <si>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</si>
  <si>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</si>
  <si>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</si>
  <si>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</si>
  <si>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</si>
  <si>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</si>
  <si>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</si>
  <si>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</si>
  <si>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</si>
  <si>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</si>
  <si>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</si>
  <si>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</si>
  <si>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</si>
  <si>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</si>
  <si>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</si>
  <si>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</si>
  <si>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</si>
  <si>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</si>
  <si>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</si>
  <si>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</si>
  <si>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</si>
  <si>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</si>
  <si>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</si>
  <si>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</si>
  <si>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</si>
  <si>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</si>
  <si>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</si>
  <si>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</si>
  <si>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</si>
  <si>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</si>
  <si>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</si>
  <si>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</si>
  <si>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</si>
  <si>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</si>
  <si>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</si>
  <si>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</si>
  <si>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</si>
  <si>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</si>
  <si>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</si>
  <si>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</si>
  <si>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</si>
  <si>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</si>
  <si>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</si>
  <si>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</si>
  <si>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</si>
  <si>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</si>
  <si>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</si>
  <si>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</si>
  <si>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</si>
  <si>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</si>
  <si>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</si>
  <si>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</si>
  <si>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</si>
  <si>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</si>
  <si>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</si>
  <si>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</si>
  <si>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</si>
  <si>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</si>
  <si>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</si>
  <si>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</si>
  <si>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</si>
  <si>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</si>
  <si>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</si>
  <si>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</si>
  <si>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</si>
  <si>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</si>
  <si>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</si>
  <si>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</si>
  <si>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</si>
  <si>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</si>
  <si>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</si>
  <si>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</si>
  <si>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</si>
  <si>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</si>
  <si>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</si>
  <si>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</si>
  <si>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</si>
  <si>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</si>
  <si>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</si>
  <si>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</si>
  <si>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</si>
  <si>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</si>
  <si>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</si>
  <si>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</si>
  <si>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</si>
  <si>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</si>
  <si>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</si>
  <si>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</si>
  <si>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</si>
  <si>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</si>
  <si>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</si>
  <si>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</si>
  <si>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</si>
  <si>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</si>
  <si>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</si>
  <si>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</si>
  <si>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</si>
  <si>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</si>
  <si>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</si>
  <si>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</si>
  <si>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</si>
  <si>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</si>
  <si>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</si>
  <si>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</si>
  <si>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</si>
  <si>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</si>
  <si>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</si>
  <si>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</si>
  <si>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</si>
  <si>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</si>
  <si>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</si>
  <si>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</si>
  <si>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</si>
  <si>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</si>
  <si>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</si>
  <si>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</si>
  <si>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</si>
  <si>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</si>
  <si>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</si>
  <si>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</si>
  <si>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</si>
  <si>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</si>
  <si>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</si>
  <si>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</si>
  <si>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</si>
  <si>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</si>
  <si>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</si>
  <si>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</si>
  <si>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</si>
  <si>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</si>
  <si>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</si>
  <si>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</si>
  <si>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</si>
  <si>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</si>
  <si>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</si>
  <si>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</si>
  <si>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</si>
  <si>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</si>
  <si>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</si>
  <si>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</si>
  <si>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</si>
  <si>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</si>
  <si>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</si>
  <si>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</si>
  <si>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</si>
  <si>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</si>
  <si>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</si>
  <si>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</si>
  <si>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</si>
  <si>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</si>
  <si>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</si>
  <si>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</si>
  <si>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</si>
  <si>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</si>
  <si>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</si>
  <si>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</si>
  <si>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</si>
  <si>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</si>
  <si>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</si>
  <si>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</si>
  <si>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</si>
  <si>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</si>
  <si>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</si>
  <si>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</si>
  <si>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</si>
  <si>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</si>
  <si>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</si>
  <si>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</si>
  <si>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</si>
  <si>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</si>
  <si>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</si>
  <si>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</si>
  <si>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</si>
  <si>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</si>
  <si>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</si>
  <si>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</si>
  <si>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</si>
  <si>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</si>
  <si>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</si>
  <si>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</si>
  <si>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</si>
  <si>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</si>
  <si>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</si>
  <si>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</si>
  <si>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</si>
  <si>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</si>
  <si>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</si>
  <si>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</si>
  <si>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</si>
  <si>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</si>
  <si>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</si>
  <si>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</si>
  <si>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</si>
  <si>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</si>
  <si>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</si>
  <si>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</si>
  <si>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</si>
  <si>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</si>
  <si>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</si>
  <si>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</si>
  <si>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</si>
  <si>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</si>
  <si>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</si>
  <si>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</si>
  <si>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</si>
  <si>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</si>
  <si>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</si>
  <si>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</si>
  <si>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</si>
  <si>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</si>
  <si>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</si>
  <si>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</si>
  <si>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</si>
  <si>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</si>
  <si>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</si>
  <si>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</si>
  <si>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</si>
  <si>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</si>
  <si>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</si>
  <si>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</si>
  <si>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</si>
  <si>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</si>
  <si>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</si>
  <si>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</si>
  <si>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</si>
  <si>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</si>
  <si>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</si>
  <si>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</si>
  <si>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</si>
  <si>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</si>
  <si>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</si>
  <si>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</si>
  <si>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</si>
  <si>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</si>
  <si>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</si>
  <si>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</si>
  <si>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</si>
  <si>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</si>
  <si>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</si>
  <si>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</si>
  <si>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</si>
  <si>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</si>
  <si>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</si>
  <si>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</si>
  <si>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</si>
  <si>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</si>
  <si>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</si>
  <si>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</si>
  <si>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</si>
  <si>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</si>
  <si>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</si>
  <si>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</si>
  <si>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</si>
  <si>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</si>
  <si>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</si>
  <si>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</si>
  <si>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</si>
  <si>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</si>
  <si>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</si>
  <si>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</si>
  <si>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</si>
  <si>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</si>
  <si>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</si>
  <si>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</si>
  <si>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</si>
  <si>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</si>
  <si>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</si>
  <si>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</si>
  <si>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</si>
  <si>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</si>
  <si>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</si>
  <si>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</si>
  <si>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</si>
  <si>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</si>
  <si>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</si>
  <si>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</si>
  <si>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</si>
  <si>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</si>
  <si>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</si>
  <si>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</si>
  <si>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</si>
  <si>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</si>
  <si>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</si>
  <si>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</si>
  <si>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</si>
  <si>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</si>
  <si>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</si>
  <si>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</si>
  <si>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</si>
  <si>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</si>
  <si>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</si>
  <si>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</si>
  <si>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</si>
  <si>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</si>
  <si>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</si>
  <si>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</si>
  <si>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</si>
  <si>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</si>
  <si>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</si>
  <si>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</si>
  <si>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</si>
  <si>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</si>
  <si>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</si>
  <si>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</si>
  <si>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</si>
  <si>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</si>
  <si>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</si>
  <si>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</si>
  <si>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</si>
  <si>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</si>
  <si>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</si>
  <si>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</si>
  <si>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</si>
  <si>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</si>
  <si>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</si>
  <si>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</si>
  <si>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</si>
  <si>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</si>
  <si>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</si>
  <si>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</si>
  <si>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</si>
  <si>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</si>
  <si>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</si>
  <si>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</si>
  <si>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</si>
  <si>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</si>
  <si>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</si>
  <si>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</si>
  <si>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</si>
  <si>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</si>
  <si>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</si>
  <si>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</si>
  <si>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</si>
  <si>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</si>
  <si>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</si>
  <si>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</si>
  <si>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</si>
  <si>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</si>
  <si>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</si>
  <si>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</si>
  <si>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</si>
  <si>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</si>
  <si>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</si>
  <si>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</si>
  <si>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</si>
  <si>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</si>
  <si>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</si>
  <si>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</si>
  <si>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</si>
  <si>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</si>
  <si>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</si>
  <si>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</si>
  <si>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</si>
  <si>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</si>
  <si>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</si>
  <si>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</si>
  <si>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</si>
  <si>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</si>
  <si>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</si>
  <si>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</si>
  <si>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</si>
  <si>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</si>
  <si>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</si>
  <si>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</si>
  <si>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</si>
  <si>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</si>
  <si>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</si>
  <si>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</si>
  <si>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</si>
  <si>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</si>
  <si>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</si>
  <si>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</si>
  <si>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</si>
  <si>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</si>
  <si>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</si>
  <si>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</si>
  <si>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</si>
  <si>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</si>
  <si>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</si>
  <si>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</si>
  <si>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</si>
  <si>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</si>
  <si>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</si>
  <si>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</si>
  <si>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</si>
  <si>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</si>
  <si>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</si>
  <si>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</si>
  <si>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</si>
  <si>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</si>
  <si>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</si>
  <si>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</si>
  <si>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</si>
  <si>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</si>
  <si>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</si>
  <si>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</si>
  <si>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</si>
  <si>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</si>
  <si>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</si>
  <si>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</si>
  <si>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</si>
  <si>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</si>
  <si>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</si>
  <si>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</si>
  <si>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</si>
  <si>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</si>
  <si>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</si>
  <si>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</si>
  <si>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</si>
  <si>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</si>
  <si>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</si>
  <si>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</si>
  <si>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</si>
  <si>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</si>
  <si>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</si>
  <si>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</si>
  <si>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</si>
  <si>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</si>
  <si>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</si>
  <si>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</si>
  <si>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</si>
  <si>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</si>
  <si>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</si>
  <si>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</si>
  <si>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</si>
  <si>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</si>
  <si>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</si>
  <si>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</si>
  <si>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</si>
  <si>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</si>
  <si>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</si>
  <si>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</si>
  <si>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</si>
  <si>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</si>
  <si>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</si>
  <si>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</si>
  <si>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</si>
  <si>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</si>
  <si>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</si>
  <si>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</si>
  <si>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</si>
  <si>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</si>
  <si>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</si>
  <si>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</si>
  <si>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</si>
  <si>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</si>
  <si>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</si>
  <si>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</si>
  <si>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</si>
  <si>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</si>
  <si>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</si>
  <si>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</si>
  <si>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</si>
  <si>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</si>
  <si>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</si>
  <si>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</si>
  <si>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</si>
  <si>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</si>
  <si>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</si>
  <si>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</si>
  <si>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</si>
  <si>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</si>
  <si>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</si>
  <si>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</si>
  <si>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</si>
  <si>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</si>
  <si>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</si>
  <si>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</si>
  <si>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</si>
  <si>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</si>
  <si>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</si>
  <si>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</si>
  <si>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</si>
  <si>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</si>
  <si>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</si>
  <si>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</si>
  <si>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</si>
  <si>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</si>
  <si>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</si>
  <si>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</si>
  <si>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</si>
  <si>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</si>
  <si>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</si>
  <si>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</si>
  <si>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</si>
  <si>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</si>
  <si>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</si>
  <si>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</si>
  <si>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</si>
  <si>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</si>
  <si>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</si>
  <si>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</si>
  <si>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</si>
  <si>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</si>
  <si>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</si>
  <si>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</si>
  <si>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</si>
  <si>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</si>
  <si>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</si>
  <si>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</si>
  <si>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</si>
  <si>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</si>
  <si>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</si>
  <si>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</si>
  <si>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</si>
  <si>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</si>
  <si>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</si>
  <si>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</si>
  <si>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</si>
  <si>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</si>
  <si>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</si>
  <si>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</si>
  <si>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</si>
  <si>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</si>
  <si>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</si>
  <si>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</si>
  <si>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</si>
  <si>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</si>
  <si>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</si>
  <si>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</si>
  <si>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</si>
  <si>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</si>
  <si>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</si>
  <si>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</si>
  <si>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</si>
  <si>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</si>
  <si>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</si>
  <si>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</si>
  <si>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</si>
  <si>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</si>
  <si>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</si>
  <si>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</si>
  <si>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</si>
  <si>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</si>
  <si>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</si>
  <si>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</si>
  <si>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</si>
  <si>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</si>
  <si>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</si>
  <si>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</si>
  <si>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</si>
  <si>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</si>
  <si>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</si>
  <si>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</si>
  <si>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</si>
  <si>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</si>
  <si>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</si>
  <si>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</si>
  <si>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</si>
  <si>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</si>
  <si>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</si>
  <si>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</si>
  <si>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</si>
  <si>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</si>
  <si>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</si>
  <si>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</si>
  <si>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</si>
  <si>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</si>
  <si>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</si>
  <si>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</si>
  <si>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</si>
  <si>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</si>
  <si>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</si>
  <si>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</si>
  <si>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</si>
  <si>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</si>
  <si>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</si>
  <si>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</si>
  <si>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</si>
  <si>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</si>
  <si>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</si>
  <si>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</si>
  <si>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</si>
  <si>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</si>
  <si>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</si>
  <si>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</si>
  <si>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</si>
  <si>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</si>
  <si>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</si>
  <si>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</si>
  <si>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</si>
  <si>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</si>
  <si>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</si>
  <si>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</si>
  <si>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</si>
  <si>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</si>
  <si>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</si>
  <si>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</si>
  <si>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</si>
  <si>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</si>
  <si>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</si>
  <si>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</si>
  <si>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</si>
  <si>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</si>
  <si>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</si>
  <si>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</si>
  <si>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</si>
  <si>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</si>
  <si>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</si>
  <si>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</si>
  <si>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</si>
  <si>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</si>
  <si>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</si>
  <si>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</si>
  <si>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</si>
  <si>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</si>
  <si>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</si>
  <si>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</si>
  <si>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</si>
  <si>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</si>
  <si>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</si>
  <si>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</si>
  <si>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</si>
  <si>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</si>
  <si>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</si>
  <si>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</si>
  <si>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</si>
  <si>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</si>
  <si>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</si>
  <si>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</si>
  <si>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</si>
  <si>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</si>
  <si>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</si>
  <si>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</si>
  <si>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</si>
  <si>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</si>
  <si>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</si>
  <si>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</si>
  <si>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</si>
  <si>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</si>
  <si>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</si>
  <si>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</si>
  <si>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</si>
  <si>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</si>
  <si>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</si>
  <si>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</si>
  <si>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</si>
  <si>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</si>
  <si>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</si>
  <si>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</si>
  <si>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</si>
  <si>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</si>
  <si>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</si>
  <si>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</si>
  <si>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</si>
  <si>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</si>
  <si>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</si>
  <si>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</si>
  <si>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</si>
  <si>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</si>
  <si>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</si>
  <si>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</si>
  <si>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</si>
  <si>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</si>
  <si>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</si>
  <si>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</si>
  <si>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</si>
  <si>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</si>
  <si>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</si>
  <si>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</si>
  <si>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</si>
  <si>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</si>
  <si>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</si>
  <si>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</si>
  <si>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</si>
  <si>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</si>
  <si>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</si>
  <si>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</si>
  <si>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</si>
  <si>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</si>
  <si>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</si>
  <si>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</si>
  <si>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</si>
  <si>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</si>
  <si>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</si>
  <si>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</si>
  <si>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</si>
  <si>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</si>
  <si>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</si>
  <si>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</si>
  <si>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</si>
  <si>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</si>
  <si>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</si>
  <si>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</si>
  <si>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</si>
  <si>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</si>
  <si>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</si>
  <si>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</si>
  <si>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</si>
  <si>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</si>
  <si>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</si>
  <si>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</si>
  <si>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</si>
  <si>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</si>
  <si>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</si>
  <si>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</si>
  <si>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</si>
  <si>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</si>
  <si>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</si>
  <si>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</si>
  <si>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</si>
  <si>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</si>
  <si>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</si>
  <si>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</si>
  <si>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</si>
  <si>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</si>
  <si>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</si>
  <si>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</si>
  <si>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</si>
  <si>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</si>
  <si>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</si>
  <si>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</si>
  <si>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</si>
  <si>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</si>
  <si>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</si>
  <si>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</si>
  <si>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</si>
  <si>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</si>
  <si>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</si>
  <si>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</si>
  <si>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</si>
  <si>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</si>
  <si>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</si>
  <si>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</si>
  <si>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</si>
  <si>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</si>
  <si>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</si>
  <si>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</si>
  <si>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</si>
  <si>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</si>
  <si>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</si>
  <si>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</si>
  <si>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</si>
  <si>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</si>
  <si>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</si>
  <si>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</si>
  <si>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</si>
  <si>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</si>
  <si>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</si>
  <si>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</si>
  <si>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</si>
  <si>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</si>
  <si>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</si>
  <si>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</si>
  <si>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</si>
  <si>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</si>
  <si>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</si>
  <si>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</si>
  <si>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</si>
  <si>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</si>
  <si>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</si>
  <si>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</si>
  <si>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</si>
  <si>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</si>
  <si>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</si>
  <si>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</si>
  <si>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</si>
  <si>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</si>
  <si>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</si>
  <si>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</si>
  <si>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</si>
  <si>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</si>
  <si>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</si>
  <si>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</si>
  <si>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</si>
  <si>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</si>
  <si>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</si>
  <si>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</si>
  <si>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</si>
  <si>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</si>
  <si>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</si>
  <si>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</si>
  <si>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</si>
  <si>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</si>
  <si>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</si>
  <si>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</si>
  <si>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</si>
  <si>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</si>
  <si>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</si>
  <si>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</si>
  <si>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</si>
  <si>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</si>
  <si>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</si>
  <si>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</si>
  <si>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</si>
  <si>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</si>
  <si>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</si>
  <si>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</si>
  <si>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</si>
  <si>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</si>
  <si>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</si>
  <si>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</si>
  <si>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</si>
  <si>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</si>
  <si>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</si>
  <si>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</si>
  <si>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</si>
  <si>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</si>
  <si>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</si>
  <si>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</si>
  <si>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</si>
  <si>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</si>
  <si>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</si>
  <si>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</si>
  <si>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</si>
  <si>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</si>
  <si>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</si>
  <si>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</si>
  <si>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</si>
  <si>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</si>
  <si>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</si>
  <si>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</si>
  <si>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</si>
  <si>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</si>
  <si>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</si>
  <si>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</si>
  <si>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</si>
  <si>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</si>
  <si>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</si>
  <si>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</si>
  <si>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</si>
  <si>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</si>
  <si>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</si>
  <si>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</si>
  <si>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</si>
  <si>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</si>
  <si>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</si>
  <si>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</si>
  <si>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</si>
  <si>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</si>
  <si>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</si>
  <si>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</si>
  <si>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</si>
  <si>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</si>
  <si>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</si>
  <si>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</si>
  <si>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</si>
  <si>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</si>
  <si>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</si>
  <si>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</si>
  <si>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</si>
  <si>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</si>
  <si>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</si>
  <si>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</si>
  <si>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</si>
  <si>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</si>
  <si>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</si>
  <si>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</si>
  <si>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</si>
  <si>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</si>
  <si>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</si>
  <si>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</si>
  <si>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</si>
  <si>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</si>
  <si>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</si>
  <si>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</si>
  <si>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</si>
  <si>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</si>
  <si>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</si>
  <si>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</si>
  <si>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</si>
  <si>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</si>
  <si>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</si>
  <si>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</si>
  <si>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</si>
  <si>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</si>
  <si>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</si>
  <si>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</si>
  <si>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</si>
  <si>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</si>
  <si>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</si>
  <si>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</si>
  <si>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</si>
  <si>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</si>
  <si>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</si>
  <si>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</si>
  <si>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</si>
  <si>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</si>
  <si>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</si>
  <si>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</si>
  <si>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</si>
  <si>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</si>
  <si>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</si>
  <si>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</si>
  <si>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</si>
  <si>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</si>
  <si>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</si>
  <si>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</si>
  <si>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</si>
  <si>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</si>
  <si>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</si>
  <si>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</si>
  <si>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</si>
  <si>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</si>
  <si>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</si>
  <si>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</si>
  <si>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</si>
  <si>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</si>
  <si>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</si>
  <si>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</si>
  <si>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</si>
  <si>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</si>
  <si>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</si>
  <si>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</si>
  <si>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</si>
  <si>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</si>
  <si>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</si>
  <si>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</si>
  <si>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</si>
  <si>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</si>
  <si>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</si>
  <si>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</si>
  <si>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</si>
  <si>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</si>
  <si>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</si>
  <si>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</si>
  <si>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</si>
  <si>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</si>
  <si>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</si>
  <si>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</si>
  <si>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</si>
  <si>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</si>
  <si>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</si>
  <si>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</si>
  <si>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</si>
  <si>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</si>
  <si>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</si>
  <si>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</si>
  <si>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</si>
  <si>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</si>
  <si>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</si>
  <si>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</si>
  <si>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</si>
  <si>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</si>
  <si>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</si>
  <si>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</si>
  <si>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</si>
  <si>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</si>
  <si>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</si>
  <si>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</si>
  <si>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</si>
  <si>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</si>
  <si>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</si>
  <si>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</si>
  <si>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</si>
  <si>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</si>
  <si>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</si>
  <si>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</si>
  <si>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</si>
  <si>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</si>
  <si>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</si>
  <si>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</si>
  <si>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</si>
  <si>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</si>
  <si>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</si>
  <si>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</si>
  <si>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</si>
  <si>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</si>
  <si>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</si>
  <si>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</si>
  <si>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</si>
  <si>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</si>
  <si>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</si>
  <si>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</si>
  <si>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</si>
  <si>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</si>
  <si>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</si>
  <si>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</si>
  <si>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</si>
  <si>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</si>
  <si>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</si>
  <si>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</si>
  <si>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</si>
  <si>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</si>
  <si>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</si>
  <si>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</si>
  <si>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</si>
  <si>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</si>
  <si>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</si>
  <si>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</si>
  <si>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</si>
  <si>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</si>
  <si>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</si>
  <si>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</si>
  <si>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</si>
  <si>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</si>
  <si>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</si>
  <si>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</si>
  <si>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</si>
  <si>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</si>
  <si>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</si>
  <si>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</si>
  <si>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</si>
  <si>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</si>
  <si>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</si>
  <si>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</si>
  <si>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</si>
  <si>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</si>
  <si>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</si>
  <si>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</si>
  <si>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</si>
  <si>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</si>
  <si>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</si>
  <si>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</si>
  <si>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</si>
  <si>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</si>
  <si>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</si>
  <si>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</si>
  <si>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</si>
  <si>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</si>
  <si>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</si>
  <si>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</si>
  <si>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</si>
  <si>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</si>
  <si>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</si>
  <si>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</si>
  <si>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</si>
  <si>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</si>
  <si>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</si>
  <si>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</si>
  <si>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</si>
  <si>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</si>
  <si>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</si>
  <si>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</si>
  <si>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</si>
  <si>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</si>
  <si>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</si>
  <si>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</si>
  <si>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</si>
  <si>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</si>
  <si>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</si>
  <si>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</si>
  <si>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</si>
  <si>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</si>
  <si>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</si>
  <si>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</si>
  <si>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</si>
  <si>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</si>
  <si>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</si>
  <si>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</si>
  <si>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</si>
  <si>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</si>
  <si>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</si>
  <si>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</si>
  <si>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</si>
  <si>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</si>
  <si>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</si>
  <si>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</si>
  <si>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</si>
  <si>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</si>
  <si>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</si>
  <si>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</si>
  <si>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</si>
  <si>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</si>
  <si>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</si>
  <si>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</si>
  <si>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</si>
  <si>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</si>
  <si>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</si>
  <si>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</si>
  <si>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</si>
  <si>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</si>
  <si>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</si>
  <si>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</si>
  <si>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</si>
  <si>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</si>
  <si>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</si>
  <si>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</si>
  <si>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</si>
  <si>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</si>
  <si>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</si>
  <si>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</si>
  <si>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</si>
  <si>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</si>
  <si>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</si>
  <si>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</si>
  <si>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</si>
  <si>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</si>
  <si>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</si>
  <si>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</si>
  <si>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</si>
  <si>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</si>
  <si>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</si>
  <si>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</si>
  <si>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</si>
  <si>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</si>
  <si>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</si>
  <si>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</si>
  <si>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</si>
  <si>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</si>
  <si>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</si>
  <si>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</si>
  <si>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</si>
  <si>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</si>
  <si>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</si>
  <si>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</si>
  <si>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</si>
  <si>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</si>
  <si>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</si>
  <si>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</si>
  <si>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</si>
  <si>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</si>
  <si>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</si>
  <si>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</si>
  <si>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</si>
  <si>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</si>
  <si>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</si>
  <si>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</si>
  <si>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</si>
  <si>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</si>
  <si>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</si>
  <si>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</si>
  <si>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</si>
  <si>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</si>
  <si>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</si>
  <si>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</si>
  <si>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</si>
  <si>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</si>
  <si>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</si>
  <si>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</si>
  <si>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</si>
  <si>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</si>
  <si>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</si>
  <si>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</si>
  <si>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</si>
  <si>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</si>
  <si>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</si>
  <si>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</si>
  <si>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</si>
  <si>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</si>
  <si>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</si>
  <si>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</si>
  <si>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</si>
  <si>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</si>
  <si>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</si>
  <si>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</si>
  <si>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</si>
  <si>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</si>
  <si>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</si>
  <si>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</si>
  <si>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</si>
  <si>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</si>
  <si>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</si>
  <si>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</si>
  <si>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</si>
  <si>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</si>
  <si>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</si>
  <si>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</si>
  <si>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</si>
  <si>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</si>
  <si>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</si>
  <si>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</si>
  <si>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</si>
  <si>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</si>
  <si>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</si>
  <si>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</si>
  <si>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</si>
  <si>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</si>
  <si>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</si>
  <si>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</si>
  <si>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</si>
  <si>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</si>
  <si>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</si>
  <si>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</si>
  <si>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</si>
  <si>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</si>
  <si>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</si>
  <si>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</si>
  <si>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</si>
  <si>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</si>
  <si>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</si>
  <si>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</si>
  <si>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</si>
  <si>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</si>
  <si>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</si>
  <si>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</si>
  <si>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</si>
  <si>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</si>
  <si>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</si>
  <si>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</si>
  <si>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</si>
  <si>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</si>
  <si>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</si>
  <si>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</si>
  <si>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</si>
  <si>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</si>
  <si>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</si>
  <si>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</si>
  <si>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</si>
  <si>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</si>
  <si>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</si>
  <si>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</si>
  <si>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</si>
  <si>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</si>
  <si>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</si>
  <si>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</si>
  <si>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</si>
  <si>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</si>
  <si>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</si>
  <si>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</si>
  <si>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</si>
  <si>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</si>
  <si>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</si>
  <si>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</si>
  <si>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</si>
  <si>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</si>
  <si>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</si>
  <si>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</si>
  <si>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</si>
  <si>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</si>
  <si>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</si>
  <si>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</si>
  <si>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</si>
  <si>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</si>
  <si>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</si>
  <si>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</si>
  <si>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</si>
  <si>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</si>
  <si>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</si>
  <si>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</si>
  <si>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</si>
  <si>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</si>
  <si>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</si>
  <si>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</si>
  <si>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</si>
  <si>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</si>
  <si>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</si>
  <si>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</si>
  <si>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</si>
  <si>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</si>
  <si>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</si>
  <si>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</si>
  <si>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</si>
  <si>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</si>
  <si>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</si>
  <si>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</si>
  <si>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</si>
  <si>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</si>
  <si>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</si>
  <si>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</si>
  <si>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</si>
  <si>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</si>
  <si>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</si>
  <si>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</si>
  <si>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</si>
  <si>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</si>
  <si>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</si>
  <si>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</si>
  <si>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</si>
  <si>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</si>
  <si>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</si>
  <si>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</si>
  <si>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</si>
  <si>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</si>
  <si>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</si>
  <si>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</si>
  <si>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</si>
  <si>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</si>
  <si>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</si>
  <si>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</si>
  <si>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</si>
  <si>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</si>
  <si>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</si>
  <si>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</si>
  <si>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</si>
  <si>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</si>
  <si>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</si>
  <si>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</si>
  <si>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</si>
  <si>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</si>
  <si>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</si>
  <si>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</si>
  <si>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</si>
  <si>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</si>
  <si>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</si>
  <si>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</si>
  <si>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</si>
  <si>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</si>
  <si>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</si>
  <si>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</si>
  <si>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</si>
  <si>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</si>
  <si>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</si>
  <si>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</si>
  <si>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</si>
  <si>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</si>
  <si>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</si>
  <si>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</si>
  <si>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</si>
  <si>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</si>
  <si>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</si>
  <si>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</si>
  <si>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</si>
  <si>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</si>
  <si>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</si>
  <si>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</si>
  <si>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</si>
  <si>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</si>
  <si>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</si>
  <si>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</si>
  <si>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</si>
  <si>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</si>
  <si>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</si>
  <si>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</si>
  <si>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</si>
  <si>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</si>
  <si>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</si>
  <si>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</si>
  <si>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</si>
  <si>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</si>
  <si>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</si>
  <si>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</si>
  <si>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</si>
  <si>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</si>
  <si>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</si>
  <si>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</si>
  <si>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</si>
  <si>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</si>
  <si>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</si>
  <si>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</si>
  <si>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</si>
  <si>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</si>
  <si>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</si>
  <si>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</si>
  <si>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</si>
  <si>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</si>
  <si>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</si>
  <si>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</si>
  <si>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</si>
  <si>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</si>
  <si>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</si>
  <si>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</si>
  <si>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</si>
  <si>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</si>
  <si>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</si>
  <si>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</si>
  <si>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</si>
  <si>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</si>
  <si>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</si>
  <si>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</si>
  <si>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</si>
  <si>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</si>
  <si>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</si>
  <si>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</si>
  <si>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</si>
  <si>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</si>
  <si>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</si>
  <si>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</si>
  <si>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</si>
  <si>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</si>
  <si>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</si>
  <si>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</si>
  <si>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</si>
  <si>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</si>
  <si>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</si>
  <si>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</si>
  <si>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</si>
  <si>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</si>
  <si>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</si>
  <si>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</si>
  <si>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</si>
  <si>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</si>
  <si>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</si>
  <si>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</si>
  <si>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</si>
  <si>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</si>
  <si>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</si>
  <si>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</si>
  <si>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</si>
  <si>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</si>
  <si>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</si>
  <si>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</si>
  <si>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</si>
  <si>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</si>
  <si>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</si>
  <si>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</si>
  <si>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</si>
  <si>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</si>
  <si>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</si>
  <si>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</si>
  <si>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</si>
  <si>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</si>
  <si>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</si>
  <si>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</si>
  <si>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</si>
  <si>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</si>
  <si>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</si>
  <si>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</si>
  <si>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</si>
  <si>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</si>
  <si>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</si>
  <si>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</si>
  <si>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</si>
  <si>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</si>
  <si>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</si>
  <si>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</si>
  <si>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</si>
  <si>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</si>
  <si>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</si>
  <si>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</si>
  <si>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</si>
  <si>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</si>
  <si>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</si>
  <si>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</si>
  <si>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</si>
  <si>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</si>
  <si>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</si>
  <si>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</si>
  <si>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</si>
  <si>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</si>
  <si>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</si>
  <si>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</si>
  <si>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</si>
  <si>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</si>
  <si>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</si>
  <si>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</si>
  <si>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</si>
  <si>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</si>
  <si>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</si>
  <si>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</si>
  <si>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</si>
  <si>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</si>
  <si>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</si>
  <si>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</si>
  <si>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</si>
  <si>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</si>
  <si>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</si>
  <si>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</si>
  <si>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</si>
  <si>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</si>
  <si>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</si>
  <si>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</si>
  <si>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</si>
  <si>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</si>
  <si>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</si>
  <si>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</si>
  <si>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</si>
  <si>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</si>
  <si>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</si>
  <si>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</si>
  <si>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</si>
  <si>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</si>
  <si>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</si>
  <si>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</si>
  <si>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</si>
  <si>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</si>
  <si>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</si>
  <si>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</si>
  <si>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</si>
  <si>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</si>
  <si>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</si>
  <si>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</si>
  <si>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</si>
  <si>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</si>
  <si>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</si>
  <si>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</si>
  <si>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</si>
  <si>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</si>
  <si>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</si>
  <si>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</si>
  <si>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</si>
  <si>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</si>
  <si>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</si>
  <si>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</si>
  <si>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</si>
  <si>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</si>
  <si>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</si>
  <si>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</si>
  <si>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</si>
  <si>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</si>
  <si>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</si>
  <si>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</si>
  <si>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</si>
  <si>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</si>
  <si>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</si>
  <si>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</si>
  <si>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</si>
  <si>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</si>
  <si>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</si>
  <si>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</si>
  <si>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</si>
  <si>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</si>
  <si>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</si>
  <si>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</si>
  <si>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</si>
  <si>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</si>
  <si>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</si>
  <si>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</si>
  <si>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</si>
  <si>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</si>
  <si>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</si>
  <si>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</si>
  <si>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</si>
  <si>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</si>
  <si>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</si>
  <si>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</si>
  <si>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</si>
  <si>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</si>
  <si>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</si>
  <si>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</si>
  <si>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</si>
  <si>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</si>
  <si>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</si>
  <si>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</si>
  <si>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</si>
  <si>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</si>
  <si>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</si>
  <si>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</si>
  <si>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</si>
  <si>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</si>
  <si>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</si>
  <si>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</si>
  <si>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</si>
  <si>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</si>
  <si>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</si>
  <si>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</si>
  <si>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</si>
  <si>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</si>
  <si>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</si>
  <si>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</si>
  <si>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</si>
  <si>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</si>
  <si>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</si>
  <si>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</si>
  <si>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</si>
  <si>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</si>
  <si>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</si>
  <si>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</si>
  <si>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</si>
  <si>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</si>
  <si>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</si>
  <si>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</si>
  <si>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</si>
  <si>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</si>
  <si>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</si>
  <si>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</si>
  <si>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</si>
  <si>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</si>
  <si>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</si>
  <si>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</si>
  <si>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</si>
  <si>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</si>
  <si>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</si>
  <si>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</si>
  <si>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</si>
  <si>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</si>
  <si>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</si>
  <si>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</si>
  <si>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</si>
  <si>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</si>
  <si>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</si>
  <si>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</si>
  <si>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</si>
  <si>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</si>
  <si>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</si>
  <si>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</si>
  <si>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</si>
  <si>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</si>
  <si>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</si>
  <si>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</si>
  <si>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</si>
  <si>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</si>
  <si>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</si>
  <si>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</si>
  <si>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</si>
  <si>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</si>
  <si>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</si>
  <si>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</si>
  <si>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</si>
  <si>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</si>
  <si>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</si>
  <si>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</si>
  <si>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</si>
  <si>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</si>
  <si>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</si>
  <si>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</si>
  <si>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</si>
  <si>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</si>
  <si>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</si>
  <si>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</si>
  <si>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</si>
  <si>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</si>
  <si>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</si>
  <si>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</si>
  <si>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</si>
  <si>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</si>
  <si>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</si>
  <si>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</si>
  <si>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</si>
  <si>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</si>
  <si>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</si>
  <si>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</si>
  <si>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</si>
  <si>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</si>
  <si>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</si>
  <si>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</si>
  <si>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</si>
  <si>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</si>
  <si>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</si>
  <si>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</si>
  <si>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</si>
  <si>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</si>
  <si>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</si>
  <si>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</si>
  <si>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</si>
  <si>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</si>
  <si>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</si>
  <si>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</si>
  <si>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</si>
  <si>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</si>
  <si>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</si>
  <si>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</si>
  <si>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</si>
  <si>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</si>
  <si>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</si>
  <si>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</si>
  <si>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</si>
  <si>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</si>
  <si>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</si>
  <si>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</si>
  <si>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</si>
  <si>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</si>
  <si>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</si>
  <si>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</si>
  <si>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</si>
  <si>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</si>
  <si>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</si>
  <si>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</si>
  <si>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</si>
  <si>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</si>
  <si>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</si>
  <si>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</si>
  <si>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</si>
  <si>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</si>
  <si>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</si>
  <si>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</si>
  <si>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</si>
  <si>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</si>
  <si>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</si>
  <si>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</si>
  <si>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</si>
  <si>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</si>
  <si>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</si>
  <si>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</si>
  <si>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</si>
  <si>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</si>
  <si>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</si>
  <si>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</si>
  <si>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</si>
  <si>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</si>
  <si>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</si>
  <si>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</si>
  <si>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</si>
  <si>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</si>
  <si>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</si>
  <si>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</si>
  <si>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</si>
  <si>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</si>
  <si>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</si>
  <si>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</si>
  <si>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</si>
  <si>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</si>
  <si>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</si>
  <si>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</si>
  <si>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</si>
  <si>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</si>
  <si>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</si>
  <si>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</si>
  <si>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</si>
  <si>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</si>
  <si>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</si>
  <si>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</si>
  <si>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</si>
  <si>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</si>
  <si>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</si>
  <si>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</si>
  <si>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</si>
  <si>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</si>
  <si>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</si>
  <si>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</si>
  <si>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</si>
  <si>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</si>
  <si>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</si>
  <si>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</si>
  <si>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</si>
  <si>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</si>
  <si>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</si>
  <si>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</si>
  <si>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</si>
  <si>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</si>
  <si>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</si>
  <si>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</si>
  <si>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</si>
  <si>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</si>
  <si>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</si>
  <si>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</si>
  <si>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</si>
  <si>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</si>
  <si>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</si>
  <si>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</si>
  <si>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</si>
  <si>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</si>
  <si>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</si>
  <si>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</si>
  <si>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</si>
  <si>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</si>
  <si>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</si>
  <si>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</si>
  <si>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</si>
  <si>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</si>
  <si>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</si>
  <si>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</si>
  <si>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</si>
  <si>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</si>
  <si>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</si>
  <si>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</si>
  <si>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</si>
  <si>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</si>
  <si>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</si>
  <si>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</si>
  <si>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</si>
  <si>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</si>
  <si>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</si>
  <si>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</si>
  <si>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</si>
  <si>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</si>
  <si>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</si>
  <si>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</si>
  <si>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</si>
  <si>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</si>
  <si>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</si>
  <si>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</si>
  <si>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</si>
  <si>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</si>
  <si>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</si>
  <si>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</si>
  <si>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</si>
  <si>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</si>
  <si>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</si>
  <si>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</si>
  <si>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</si>
  <si>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</si>
  <si>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</si>
  <si>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</si>
  <si>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</si>
  <si>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</si>
  <si>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</si>
  <si>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</si>
  <si>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</si>
  <si>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</si>
  <si>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</si>
  <si>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</si>
  <si>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</si>
  <si>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</si>
  <si>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</si>
  <si>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</si>
  <si>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</si>
  <si>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</si>
  <si>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</si>
  <si>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</si>
  <si>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</si>
  <si>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</si>
  <si>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</si>
  <si>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</si>
  <si>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</si>
  <si>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</si>
  <si>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</si>
  <si>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</si>
  <si>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</si>
  <si>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</si>
  <si>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</si>
  <si>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</si>
  <si>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</si>
  <si>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</si>
  <si>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</si>
  <si>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</si>
  <si>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</si>
  <si>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</si>
  <si>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</si>
  <si>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</si>
  <si>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</si>
  <si>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</si>
  <si>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</si>
  <si>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</si>
  <si>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</si>
  <si>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</si>
  <si>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</si>
  <si>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</si>
  <si>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</si>
  <si>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</si>
  <si>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</si>
  <si>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</si>
  <si>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</si>
  <si>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</si>
  <si>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</si>
  <si>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</si>
  <si>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</si>
  <si>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</si>
  <si>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</si>
  <si>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</si>
  <si>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</si>
  <si>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</si>
  <si>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</si>
  <si>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</si>
  <si>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</si>
  <si>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</si>
  <si>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</si>
  <si>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</si>
  <si>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</si>
  <si>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</si>
  <si>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</si>
  <si>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</si>
  <si>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</si>
  <si>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</si>
  <si>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</si>
  <si>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</si>
  <si>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</si>
  <si>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</si>
  <si>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</si>
  <si>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</si>
  <si>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</si>
  <si>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</si>
  <si>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</si>
  <si>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</si>
  <si>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</si>
  <si>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</si>
  <si>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</si>
  <si>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</si>
  <si>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</si>
  <si>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</si>
  <si>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</si>
  <si>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</si>
  <si>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</si>
  <si>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</si>
  <si>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</si>
  <si>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</si>
  <si>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</si>
  <si>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</si>
  <si>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</si>
  <si>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</si>
  <si>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</si>
  <si>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</si>
  <si>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</si>
  <si>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</si>
  <si>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</si>
  <si>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</si>
  <si>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</si>
  <si>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</si>
  <si>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</si>
  <si>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</si>
  <si>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</si>
  <si>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</si>
  <si>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</si>
  <si>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</si>
  <si>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</si>
  <si>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</si>
  <si>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</si>
  <si>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</si>
  <si>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</si>
  <si>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</si>
  <si>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</si>
  <si>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</si>
  <si>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</si>
  <si>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</si>
  <si>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</si>
  <si>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</si>
  <si>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</si>
  <si>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</si>
  <si>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</si>
  <si>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</si>
  <si>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</si>
  <si>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</si>
  <si>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</si>
  <si>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</si>
  <si>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</si>
  <si>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</si>
  <si>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</si>
  <si>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</si>
  <si>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</si>
  <si>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</si>
  <si>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</si>
  <si>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</si>
  <si>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</si>
  <si>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</si>
  <si>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</si>
  <si>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</si>
  <si>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</si>
  <si>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</si>
  <si>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</si>
  <si>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</si>
  <si>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</si>
  <si>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</si>
  <si>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</si>
  <si>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</si>
  <si>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</si>
  <si>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</si>
  <si>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</si>
  <si>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</si>
  <si>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</si>
  <si>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</si>
  <si>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</si>
  <si>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</si>
  <si>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</si>
  <si>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</si>
  <si>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</si>
  <si>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</si>
  <si>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</si>
  <si>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</si>
  <si>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</si>
  <si>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</si>
  <si>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</si>
  <si>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</si>
  <si>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</si>
  <si>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</si>
  <si>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</si>
  <si>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</si>
  <si>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</si>
  <si>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</si>
  <si>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</si>
  <si>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</si>
  <si>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</si>
  <si>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</si>
  <si>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</si>
  <si>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</si>
  <si>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</si>
  <si>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</si>
  <si>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</si>
  <si>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</si>
  <si>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</si>
  <si>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</si>
  <si>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</si>
  <si>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</si>
  <si>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</si>
  <si>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</si>
  <si>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</si>
  <si>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</si>
  <si>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</si>
  <si>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</si>
  <si>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</si>
  <si>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</si>
  <si>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</si>
  <si>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</si>
  <si>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</si>
  <si>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</si>
  <si>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</si>
  <si>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</si>
  <si>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</si>
  <si>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</si>
  <si>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</si>
  <si>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</si>
  <si>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</si>
  <si>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</si>
  <si>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</si>
  <si>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</si>
  <si>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</si>
  <si>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</si>
  <si>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</si>
  <si>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</si>
  <si>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</si>
  <si>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</si>
  <si>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</si>
  <si>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</si>
  <si>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</si>
  <si>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</si>
  <si>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</si>
  <si>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</si>
  <si>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</si>
  <si>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</si>
  <si>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</si>
  <si>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</si>
  <si>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</si>
  <si>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</si>
  <si>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</si>
  <si>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</si>
  <si>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</si>
  <si>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</si>
  <si>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</si>
  <si>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</si>
  <si>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</si>
  <si>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</si>
  <si>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</si>
  <si>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</si>
  <si>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</si>
  <si>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</si>
  <si>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</si>
  <si>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</si>
  <si>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</si>
  <si>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</si>
  <si>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</si>
  <si>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</si>
  <si>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</si>
  <si>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</si>
  <si>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</si>
  <si>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</si>
  <si>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</si>
  <si>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</si>
  <si>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</si>
  <si>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</si>
  <si>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</si>
  <si>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</si>
  <si>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</si>
  <si>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</si>
  <si>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</si>
  <si>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</si>
  <si>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</si>
  <si>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</si>
  <si>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</si>
  <si>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</si>
  <si>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</si>
  <si>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</si>
  <si>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</si>
  <si>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</si>
  <si>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</si>
  <si>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</si>
  <si>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</si>
  <si>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</si>
  <si>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</si>
  <si>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</si>
  <si>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</si>
  <si>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</si>
  <si>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</si>
  <si>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</si>
  <si>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</si>
  <si>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</si>
  <si>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</si>
  <si>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</si>
  <si>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</si>
  <si>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</si>
  <si>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</si>
  <si>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</si>
  <si>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</si>
  <si>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</si>
  <si>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</si>
  <si>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</si>
  <si>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</si>
  <si>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</si>
  <si>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</si>
  <si>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</si>
  <si>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</si>
  <si>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</si>
  <si>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</si>
  <si>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</si>
  <si>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</si>
  <si>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</si>
  <si>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</si>
  <si>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</si>
  <si>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</si>
  <si>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</si>
  <si>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</si>
  <si>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</si>
  <si>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</si>
  <si>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</si>
  <si>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</si>
  <si>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</si>
  <si>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</si>
  <si>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</si>
  <si>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</si>
  <si>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</si>
  <si>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</si>
  <si>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</si>
  <si>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</si>
  <si>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</si>
  <si>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</si>
  <si>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</si>
  <si>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</si>
  <si>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</si>
  <si>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</si>
  <si>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</si>
  <si>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</si>
  <si>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</si>
  <si>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</si>
  <si>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</si>
  <si>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</si>
  <si>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</si>
  <si>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</si>
  <si>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</si>
  <si>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</si>
  <si>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</si>
  <si>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</si>
  <si>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</si>
  <si>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</si>
  <si>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</si>
  <si>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</si>
  <si>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</si>
  <si>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</si>
  <si>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</si>
  <si>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</si>
  <si>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</si>
  <si>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</si>
  <si>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</si>
  <si>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</si>
  <si>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</si>
  <si>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</si>
  <si>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</si>
  <si>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</si>
  <si>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</si>
  <si>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</si>
  <si>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</si>
  <si>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</si>
  <si>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</si>
  <si>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</si>
  <si>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</si>
  <si>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</si>
  <si>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</si>
  <si>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</si>
  <si>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</si>
  <si>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</si>
  <si>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</si>
  <si>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</si>
  <si>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</si>
  <si>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</si>
  <si>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</si>
  <si>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</si>
  <si>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</si>
  <si>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</si>
  <si>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</si>
  <si>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</si>
  <si>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</si>
  <si>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</si>
  <si>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</si>
  <si>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</si>
  <si>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</si>
  <si>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</si>
  <si>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</si>
  <si>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</si>
  <si>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</si>
  <si>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</si>
  <si>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</si>
  <si>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</si>
  <si>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</si>
  <si>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</si>
  <si>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</si>
  <si>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</si>
  <si>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</si>
  <si>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</si>
  <si>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</si>
  <si>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</si>
  <si>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</si>
  <si>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</si>
  <si>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</si>
  <si>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</si>
  <si>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</si>
  <si>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</si>
  <si>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</si>
  <si>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</si>
  <si>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</si>
  <si>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</si>
  <si>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</si>
  <si>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</si>
  <si>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</si>
  <si>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</si>
  <si>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</si>
  <si>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</si>
  <si>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</si>
  <si>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</si>
  <si>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</si>
  <si>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</si>
  <si>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</si>
  <si>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</si>
  <si>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</si>
  <si>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</si>
  <si>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</si>
  <si>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</si>
  <si>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</si>
  <si>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</si>
  <si>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</si>
  <si>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</si>
  <si>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</si>
  <si>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</si>
  <si>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</si>
  <si>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</si>
  <si>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</si>
  <si>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</si>
  <si>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</si>
  <si>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</si>
  <si>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</si>
  <si>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</si>
  <si>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</si>
  <si>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</si>
  <si>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</si>
  <si>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</si>
  <si>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</si>
  <si>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</si>
  <si>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</si>
  <si>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</si>
  <si>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</si>
  <si>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</si>
  <si>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</si>
  <si>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</si>
  <si>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</si>
  <si>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</si>
  <si>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</si>
  <si>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</si>
  <si>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</si>
  <si>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</si>
  <si>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</si>
  <si>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</si>
  <si>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</si>
  <si>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</si>
  <si>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</si>
  <si>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</si>
  <si>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</si>
  <si>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</si>
  <si>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</si>
  <si>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</si>
  <si>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</si>
  <si>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</si>
  <si>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</si>
  <si>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</si>
  <si>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</si>
  <si>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</si>
  <si>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</si>
  <si>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</si>
  <si>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</si>
  <si>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</si>
  <si>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</si>
  <si>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</si>
  <si>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</si>
  <si>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</si>
  <si>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</si>
  <si>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</si>
  <si>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</si>
  <si>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</si>
  <si>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</si>
  <si>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</si>
  <si>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</si>
  <si>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</si>
  <si>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</si>
  <si>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</si>
  <si>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</si>
  <si>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</si>
  <si>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</si>
  <si>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</si>
  <si>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</si>
  <si>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</si>
  <si>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</si>
  <si>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</si>
  <si>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</si>
  <si>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</si>
  <si>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</si>
  <si>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</si>
  <si>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</si>
  <si>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</si>
  <si>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</si>
  <si>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</si>
  <si>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</si>
  <si>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</si>
  <si>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</si>
  <si>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</si>
  <si>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</si>
  <si>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</si>
  <si>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</si>
  <si>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</si>
  <si>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</si>
  <si>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</si>
  <si>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</si>
  <si>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</si>
  <si>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</si>
  <si>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</si>
  <si>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</si>
  <si>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</si>
  <si>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</si>
  <si>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</si>
  <si>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</si>
  <si>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</si>
  <si>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</si>
  <si>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</si>
  <si>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</si>
  <si>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</si>
  <si>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</si>
  <si>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</si>
  <si>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</si>
  <si>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</si>
  <si>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</si>
  <si>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</si>
  <si>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</si>
  <si>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</si>
  <si>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</si>
  <si>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</si>
  <si>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</si>
  <si>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</si>
  <si>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</si>
  <si>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</si>
  <si>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</si>
  <si>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</si>
  <si>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</si>
  <si>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</si>
  <si>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</si>
  <si>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</si>
  <si>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</si>
  <si>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</si>
  <si>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</si>
  <si>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</si>
  <si>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</si>
  <si>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</si>
  <si>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</si>
  <si>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</si>
  <si>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</si>
  <si>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</si>
  <si>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</si>
  <si>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</si>
  <si>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</si>
  <si>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</si>
  <si>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</si>
  <si>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</si>
  <si>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</si>
  <si>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</si>
  <si>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</si>
  <si>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</si>
  <si>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</si>
  <si>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</si>
  <si>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</si>
  <si>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</si>
  <si>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</si>
  <si>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</si>
  <si>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</si>
  <si>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</si>
  <si>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</si>
  <si>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</si>
  <si>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</si>
  <si>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</si>
  <si>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</si>
  <si>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</si>
  <si>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</si>
  <si>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</si>
  <si>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</si>
  <si>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</si>
  <si>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</si>
  <si>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</si>
  <si>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</si>
  <si>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</si>
  <si>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</si>
  <si>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</si>
  <si>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</si>
  <si>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</si>
  <si>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</si>
  <si>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</si>
  <si>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</si>
  <si>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</si>
  <si>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</si>
  <si>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</si>
  <si>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</si>
  <si>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</si>
  <si>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</si>
  <si>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</si>
  <si>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</si>
  <si>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</si>
  <si>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</si>
  <si>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</si>
  <si>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</si>
  <si>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</si>
  <si>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</si>
  <si>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</si>
  <si>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</si>
  <si>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</si>
  <si>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</si>
  <si>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</si>
  <si>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</si>
  <si>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</si>
  <si>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</si>
  <si>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</si>
  <si>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</si>
  <si>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</si>
  <si>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</si>
  <si>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</si>
  <si>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</si>
  <si>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</si>
  <si>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</si>
  <si>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</si>
  <si>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</si>
  <si>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</si>
  <si>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</si>
  <si>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</si>
  <si>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</si>
  <si>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</si>
  <si>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</si>
  <si>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</si>
  <si>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</si>
  <si>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</si>
  <si>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</si>
  <si>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</si>
  <si>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</si>
  <si>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</si>
  <si>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</si>
  <si>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</si>
  <si>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</si>
  <si>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</si>
  <si>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</si>
  <si>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</si>
  <si>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</si>
  <si>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</si>
  <si>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</si>
  <si>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</si>
  <si>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</si>
  <si>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</si>
  <si>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</si>
  <si>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</si>
  <si>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</si>
  <si>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</si>
  <si>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</si>
  <si>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</si>
  <si>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</si>
  <si>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</si>
  <si>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</si>
  <si>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</si>
  <si>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</si>
  <si>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</si>
  <si>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</si>
  <si>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</si>
  <si>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</si>
  <si>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</si>
  <si>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</si>
  <si>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</si>
  <si>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</si>
  <si>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</si>
  <si>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</si>
  <si>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</si>
  <si>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</si>
  <si>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</si>
  <si>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</si>
  <si>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</si>
  <si>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</si>
  <si>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</si>
  <si>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</si>
  <si>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</si>
  <si>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</si>
  <si>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</si>
  <si>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</si>
  <si>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</si>
  <si>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</si>
  <si>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</si>
  <si>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</si>
  <si>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</si>
  <si>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</si>
  <si>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</si>
  <si>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</si>
  <si>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</si>
  <si>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</si>
  <si>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</si>
  <si>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</si>
  <si>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</si>
  <si>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</si>
  <si>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</si>
  <si>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</si>
  <si>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</si>
  <si>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</si>
  <si>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</si>
  <si>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</si>
  <si>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</si>
  <si>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</si>
  <si>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</si>
  <si>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</si>
  <si>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</si>
  <si>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</si>
  <si>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</si>
  <si>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</si>
  <si>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</si>
  <si>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</si>
  <si>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</si>
  <si>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</si>
  <si>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</si>
  <si>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</si>
  <si>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</si>
  <si>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</si>
  <si>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</si>
  <si>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</si>
  <si>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</si>
  <si>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</si>
  <si>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</si>
  <si>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</si>
  <si>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</si>
  <si>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</si>
  <si>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</si>
  <si>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</si>
  <si>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</si>
  <si>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</si>
  <si>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</si>
  <si>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</si>
  <si>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</si>
  <si>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</si>
  <si>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</si>
  <si>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</si>
  <si>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</si>
  <si>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</si>
  <si>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</si>
  <si>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</si>
  <si>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</si>
  <si>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</si>
  <si>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</si>
  <si>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</si>
  <si>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</si>
  <si>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</si>
  <si>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</si>
  <si>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</si>
  <si>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</si>
  <si>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</si>
  <si>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</si>
  <si>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</si>
  <si>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</si>
  <si>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</si>
  <si>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</si>
  <si>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</si>
  <si>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</si>
  <si>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</si>
  <si>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</si>
  <si>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</si>
  <si>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</si>
  <si>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</si>
  <si>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</si>
  <si>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</si>
  <si>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</si>
  <si>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</si>
  <si>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</si>
  <si>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</si>
  <si>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</si>
  <si>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</si>
  <si>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</si>
  <si>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</si>
  <si>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</si>
  <si>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</si>
  <si>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</si>
  <si>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</si>
  <si>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</si>
  <si>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</si>
  <si>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</si>
  <si>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</si>
  <si>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</si>
  <si>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</si>
  <si>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</si>
  <si>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</si>
  <si>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</si>
  <si>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</si>
  <si>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</si>
  <si>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</si>
  <si>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</si>
  <si>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</si>
  <si>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</si>
  <si>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</si>
  <si>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</si>
  <si>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</si>
  <si>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</si>
  <si>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</si>
  <si>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</si>
  <si>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</si>
  <si>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</si>
  <si>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</si>
  <si>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</si>
  <si>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</si>
  <si>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</si>
  <si>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</si>
  <si>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</si>
  <si>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</si>
  <si>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</si>
  <si>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</si>
  <si>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</si>
  <si>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</si>
  <si>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</si>
  <si>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</si>
  <si>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</si>
  <si>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</si>
  <si>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</si>
  <si>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</si>
  <si>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</si>
  <si>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</si>
  <si>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</si>
  <si>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</si>
  <si>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</si>
  <si>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</si>
  <si>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</si>
  <si>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</si>
  <si>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</si>
  <si>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</si>
  <si>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</si>
  <si>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</si>
  <si>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</si>
  <si>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</si>
  <si>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</si>
  <si>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</si>
  <si>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</si>
  <si>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</si>
  <si>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</si>
  <si>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</si>
  <si>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</si>
  <si>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</si>
  <si>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</si>
  <si>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</si>
  <si>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</si>
  <si>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</si>
  <si>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</si>
  <si>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</si>
  <si>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</si>
  <si>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</si>
  <si>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</si>
  <si>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</si>
  <si>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</si>
  <si>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</si>
  <si>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</si>
  <si>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</si>
  <si>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</si>
  <si>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</si>
  <si>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</si>
  <si>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</si>
  <si>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</si>
  <si>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</si>
  <si>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</si>
  <si>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</si>
  <si>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</si>
  <si>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</si>
  <si>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</si>
  <si>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</si>
  <si>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</si>
  <si>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</si>
  <si>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</si>
  <si>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</si>
  <si>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</si>
  <si>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</si>
  <si>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</si>
  <si>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</si>
  <si>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</si>
  <si>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</si>
  <si>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</si>
  <si>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</si>
  <si>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</si>
  <si>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</si>
  <si>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</si>
  <si>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</si>
  <si>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</si>
  <si>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</si>
  <si>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</si>
  <si>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</si>
  <si>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</si>
  <si>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</si>
  <si>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</si>
  <si>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</si>
  <si>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</si>
  <si>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</si>
  <si>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</si>
  <si>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</si>
  <si>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</si>
  <si>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</si>
  <si>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</si>
  <si>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</si>
  <si>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</si>
  <si>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</si>
  <si>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</si>
  <si>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</si>
  <si>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</si>
  <si>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</si>
  <si>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</si>
  <si>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</si>
  <si>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</si>
  <si>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</si>
  <si>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</si>
  <si>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</si>
  <si>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</si>
  <si>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</si>
  <si>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</si>
  <si>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</si>
  <si>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</si>
  <si>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</si>
  <si>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</si>
  <si>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</si>
  <si>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</si>
  <si>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</si>
  <si>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</si>
  <si>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</si>
  <si>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</si>
  <si>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</si>
  <si>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</si>
  <si>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</si>
  <si>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</si>
  <si>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</si>
  <si>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</si>
  <si>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</si>
  <si>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</si>
  <si>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</si>
  <si>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</si>
  <si>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</si>
  <si>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</si>
  <si>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</si>
  <si>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</si>
  <si>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</si>
  <si>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</si>
  <si>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</si>
  <si>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</si>
  <si>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</si>
  <si>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</si>
  <si>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</si>
  <si>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</si>
  <si>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</si>
  <si>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</si>
  <si>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</si>
  <si>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</si>
  <si>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</si>
  <si>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</si>
  <si>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</si>
  <si>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</si>
  <si>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</si>
  <si>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</si>
  <si>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</si>
  <si>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</si>
  <si>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</si>
  <si>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</si>
  <si>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</si>
  <si>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</si>
  <si>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</si>
  <si>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</si>
  <si>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</si>
  <si>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</si>
  <si>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</si>
  <si>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</si>
  <si>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</si>
  <si>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</si>
  <si>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</si>
  <si>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</si>
  <si>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</si>
  <si>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</si>
  <si>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</si>
  <si>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</si>
  <si>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</si>
  <si>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</si>
  <si>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</si>
  <si>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</si>
  <si>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</si>
  <si>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</si>
  <si>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</si>
  <si>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</si>
  <si>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</si>
  <si>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</si>
  <si>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</si>
  <si>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</si>
  <si>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</si>
  <si>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</si>
  <si>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</si>
  <si>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</si>
  <si>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</si>
  <si>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</si>
  <si>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</si>
  <si>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</si>
  <si>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</si>
  <si>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</si>
  <si>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</si>
  <si>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</si>
  <si>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</si>
  <si>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</si>
  <si>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</si>
  <si>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</si>
  <si>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</si>
  <si>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</si>
  <si>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</si>
  <si>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</si>
  <si>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</si>
  <si>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</si>
  <si>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</si>
  <si>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</si>
  <si>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</si>
  <si>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</si>
  <si>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</si>
  <si>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</si>
  <si>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</si>
  <si>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</si>
  <si>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</si>
  <si>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</si>
  <si>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</si>
  <si>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</si>
  <si>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</si>
  <si>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</si>
  <si>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</si>
  <si>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</si>
  <si>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</si>
  <si>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</si>
  <si>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</si>
  <si>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</si>
  <si>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</si>
  <si>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</si>
  <si>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</si>
  <si>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</si>
  <si>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</si>
  <si>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</si>
  <si>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</si>
  <si>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</si>
  <si>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</si>
  <si>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</si>
  <si>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</si>
  <si>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</si>
  <si>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</si>
  <si>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</si>
  <si>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</si>
  <si>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</si>
  <si>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</si>
  <si>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</si>
  <si>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</si>
  <si>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</si>
  <si>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</si>
  <si>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</si>
  <si>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</si>
  <si>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</si>
  <si>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</si>
  <si>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</si>
  <si>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</si>
  <si>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</si>
  <si>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</si>
  <si>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</si>
  <si>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</si>
  <si>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</si>
  <si>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</si>
  <si>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</si>
  <si>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</si>
  <si>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</si>
  <si>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</si>
  <si>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</si>
  <si>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</si>
  <si>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</si>
  <si>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</si>
  <si>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</si>
  <si>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</si>
  <si>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</si>
  <si>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</si>
  <si>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</si>
  <si>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</si>
  <si>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</si>
  <si>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</si>
  <si>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</si>
  <si>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</si>
  <si>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</si>
  <si>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</si>
  <si>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</si>
  <si>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</si>
  <si>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</si>
  <si>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</si>
  <si>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</si>
  <si>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</si>
  <si>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</si>
  <si>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</si>
  <si>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</si>
  <si>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</si>
  <si>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</si>
  <si>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</si>
  <si>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</si>
  <si>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</si>
  <si>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</si>
  <si>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</si>
  <si>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</si>
  <si>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</si>
  <si>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</si>
  <si>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</si>
  <si>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</si>
  <si>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</si>
  <si>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</si>
  <si>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</si>
  <si>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</si>
  <si>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</si>
  <si>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</si>
  <si>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</si>
  <si>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</si>
  <si>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</si>
  <si>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</si>
  <si>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</si>
  <si>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</si>
  <si>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</si>
  <si>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</si>
  <si>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</si>
  <si>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</si>
  <si>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</si>
  <si>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</si>
  <si>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</si>
  <si>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</si>
  <si>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</si>
  <si>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</si>
  <si>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</si>
  <si>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</si>
  <si>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</si>
  <si>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</si>
  <si>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</si>
  <si>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</si>
  <si>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</si>
  <si>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</si>
  <si>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</si>
  <si>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</si>
  <si>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</si>
  <si>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</si>
  <si>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</si>
  <si>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</si>
  <si>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</si>
  <si>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</si>
  <si>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</si>
  <si>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</si>
  <si>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</si>
  <si>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</si>
  <si>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</si>
  <si>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</si>
  <si>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</si>
  <si>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</si>
  <si>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</si>
  <si>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</si>
  <si>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</si>
  <si>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</si>
  <si>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</si>
  <si>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</si>
  <si>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</si>
  <si>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</si>
  <si>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</si>
  <si>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</si>
  <si>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</si>
  <si>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</si>
  <si>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</si>
  <si>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</si>
  <si>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</si>
  <si>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</si>
  <si>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</si>
  <si>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</si>
  <si>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</si>
  <si>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</si>
  <si>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</si>
  <si>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</si>
  <si>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</si>
  <si>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</si>
  <si>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</si>
  <si>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</si>
  <si>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</si>
  <si>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</si>
  <si>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</si>
  <si>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</si>
  <si>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</si>
  <si>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</si>
  <si>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</si>
  <si>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</si>
  <si>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</si>
  <si>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</si>
  <si>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</si>
  <si>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</si>
  <si>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</si>
  <si>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</si>
  <si>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</si>
  <si>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</si>
  <si>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</si>
  <si>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</si>
  <si>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</si>
  <si>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</si>
  <si>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</si>
  <si>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</si>
  <si>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</si>
  <si>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</si>
  <si>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</si>
  <si>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</si>
  <si>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</si>
  <si>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</si>
  <si>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</si>
  <si>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</si>
  <si>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</si>
  <si>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</si>
  <si>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</si>
  <si>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</si>
  <si>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</si>
  <si>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</si>
  <si>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</si>
  <si>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</si>
  <si>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</si>
  <si>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</si>
  <si>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</si>
  <si>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</si>
  <si>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</si>
  <si>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</si>
  <si>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</si>
  <si>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</si>
  <si>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</si>
  <si>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</si>
  <si>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</si>
  <si>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</si>
  <si>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</si>
  <si>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</si>
  <si>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</si>
  <si>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</si>
  <si>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</si>
  <si>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</si>
  <si>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</si>
  <si>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</si>
  <si>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</si>
  <si>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</si>
  <si>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</si>
  <si>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</si>
  <si>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</si>
  <si>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</si>
  <si>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</si>
  <si>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</si>
  <si>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</si>
  <si>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</si>
  <si>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</si>
  <si>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</si>
  <si>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</si>
  <si>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</si>
  <si>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</si>
  <si>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</si>
  <si>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</si>
  <si>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</si>
  <si>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</si>
  <si>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</si>
  <si>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</si>
  <si>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</si>
  <si>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</si>
  <si>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</si>
  <si>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</si>
  <si>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</si>
  <si>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</si>
  <si>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</si>
  <si>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</si>
  <si>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</si>
  <si>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</si>
  <si>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</si>
  <si>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</si>
  <si>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</si>
  <si>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</si>
  <si>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</si>
  <si>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</si>
  <si>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</si>
  <si>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</si>
  <si>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</si>
  <si>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</si>
  <si>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</si>
  <si>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</si>
  <si>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</si>
  <si>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</si>
  <si>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</si>
  <si>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</si>
  <si>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</si>
  <si>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</si>
  <si>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</si>
  <si>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</si>
  <si>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</si>
  <si>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</si>
  <si>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</si>
  <si>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</si>
  <si>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</si>
  <si>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</si>
  <si>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</si>
  <si>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</si>
  <si>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</si>
  <si>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</si>
  <si>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</si>
  <si>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</si>
  <si>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</si>
  <si>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</si>
  <si>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</si>
  <si>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</si>
  <si>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</si>
  <si>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</si>
  <si>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</si>
  <si>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</si>
  <si>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</si>
  <si>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</si>
  <si>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</si>
  <si>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</si>
  <si>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</si>
  <si>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</si>
  <si>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</si>
  <si>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</si>
  <si>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</si>
  <si>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</si>
  <si>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</si>
  <si>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</si>
  <si>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</si>
  <si>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</si>
  <si>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</si>
  <si>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</si>
  <si>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</si>
  <si>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</si>
  <si>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</si>
  <si>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</si>
  <si>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</si>
  <si>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</si>
  <si>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</si>
  <si>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</si>
  <si>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</si>
  <si>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</si>
  <si>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</si>
  <si>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</si>
  <si>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</si>
  <si>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</si>
  <si>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</si>
  <si>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</si>
  <si>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</si>
  <si>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</si>
  <si>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</si>
  <si>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</si>
  <si>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</si>
  <si>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</si>
  <si>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</si>
  <si>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</si>
  <si>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</si>
  <si>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</si>
  <si>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</si>
  <si>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</si>
  <si>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</si>
  <si>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</si>
  <si>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</si>
  <si>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</si>
  <si>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</si>
  <si>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</si>
  <si>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</si>
  <si>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</si>
  <si>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</si>
  <si>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</si>
  <si>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</si>
  <si>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</si>
  <si>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</si>
  <si>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</si>
  <si>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</si>
  <si>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</si>
  <si>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</si>
  <si>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</si>
  <si>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</si>
  <si>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</si>
  <si>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</si>
  <si>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</si>
  <si>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</si>
  <si>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</si>
  <si>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</si>
  <si>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</si>
  <si>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</si>
  <si>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</si>
  <si>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</si>
  <si>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</si>
  <si>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</si>
  <si>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</si>
  <si>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</si>
  <si>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</si>
  <si>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</si>
  <si>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</si>
  <si>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</si>
  <si>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</si>
  <si>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</si>
  <si>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</si>
  <si>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</si>
  <si>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</si>
  <si>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</si>
  <si>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</si>
  <si>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</si>
  <si>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</si>
  <si>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</si>
  <si>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</si>
  <si>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</si>
  <si>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</si>
  <si>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</si>
  <si>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</si>
  <si>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</si>
  <si>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</si>
  <si>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</si>
  <si>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</si>
  <si>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</si>
  <si>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</si>
  <si>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</si>
  <si>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</si>
  <si>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</si>
  <si>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</si>
  <si>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</si>
  <si>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</si>
  <si>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</si>
  <si>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</si>
  <si>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</si>
  <si>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</si>
  <si>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</si>
  <si>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</si>
  <si>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</si>
  <si>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</si>
  <si>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</si>
  <si>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</si>
  <si>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</si>
  <si>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</si>
  <si>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</si>
  <si>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</si>
  <si>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</si>
  <si>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</si>
  <si>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</si>
  <si>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</si>
  <si>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</si>
  <si>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</si>
  <si>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</si>
  <si>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</si>
  <si>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</si>
  <si>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</si>
  <si>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</si>
  <si>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</si>
  <si>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</si>
  <si>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</si>
  <si>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</si>
  <si>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</si>
  <si>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</si>
  <si>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</si>
  <si>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</si>
  <si>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</si>
  <si>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</si>
  <si>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</si>
  <si>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</si>
  <si>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</si>
  <si>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</si>
  <si>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</si>
  <si>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</si>
  <si>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</si>
  <si>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</si>
  <si>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</si>
  <si>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</si>
  <si>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</si>
  <si>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</si>
  <si>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</si>
  <si>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</si>
  <si>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</si>
  <si>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</si>
  <si>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</si>
  <si>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</si>
  <si>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</si>
  <si>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</si>
  <si>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</si>
  <si>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</si>
  <si>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</si>
  <si>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</si>
  <si>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</si>
  <si>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</si>
  <si>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</si>
  <si>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</si>
  <si>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</si>
  <si>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</si>
  <si>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</si>
  <si>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</si>
  <si>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</si>
  <si>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</si>
  <si>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</si>
  <si>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</si>
  <si>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</si>
  <si>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</si>
  <si>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</si>
  <si>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</si>
  <si>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</si>
  <si>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</si>
  <si>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</si>
  <si>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</si>
  <si>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</si>
  <si>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</si>
  <si>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</si>
  <si>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</si>
  <si>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</si>
  <si>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</si>
  <si>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</si>
  <si>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</si>
  <si>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</si>
  <si>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</si>
  <si>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</si>
  <si>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</si>
  <si>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</si>
  <si>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</si>
  <si>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</si>
  <si>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</si>
  <si>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</si>
  <si>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</si>
  <si>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</si>
  <si>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</si>
  <si>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</si>
  <si>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</si>
  <si>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</si>
  <si>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</si>
  <si>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</si>
  <si>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</si>
  <si>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</si>
  <si>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</si>
  <si>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</si>
  <si>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</si>
  <si>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</si>
  <si>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</si>
  <si>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</si>
  <si>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</si>
  <si>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</si>
  <si>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</si>
  <si>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</si>
  <si>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</si>
  <si>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</si>
  <si>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</si>
  <si>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</si>
  <si>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</si>
  <si>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</si>
  <si>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</si>
  <si>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</si>
  <si>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</si>
  <si>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</si>
  <si>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</si>
  <si>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</si>
  <si>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</si>
  <si>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</si>
  <si>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</si>
  <si>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</si>
  <si>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</si>
  <si>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</si>
  <si>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</si>
  <si>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</si>
  <si>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</si>
  <si>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</si>
  <si>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</si>
  <si>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</si>
  <si>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</si>
  <si>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</si>
  <si>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</si>
  <si>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</si>
  <si>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</si>
  <si>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</si>
  <si>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</si>
  <si>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</si>
  <si>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</si>
  <si>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</si>
  <si>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</si>
  <si>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</si>
  <si>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</si>
  <si>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</si>
  <si>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</si>
  <si>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</si>
  <si>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</si>
  <si>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</si>
  <si>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</si>
  <si>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</si>
  <si>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</si>
  <si>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</si>
  <si>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</si>
  <si>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</si>
  <si>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</si>
  <si>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</si>
  <si>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</si>
  <si>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</si>
  <si>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</si>
  <si>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</si>
  <si>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</si>
  <si>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</si>
  <si>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</si>
  <si>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</si>
  <si>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</si>
  <si>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</si>
  <si>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</si>
  <si>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</si>
  <si>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</si>
  <si>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</si>
  <si>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</si>
  <si>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</si>
  <si>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</si>
  <si>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</si>
  <si>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</si>
  <si>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</si>
  <si>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</si>
  <si>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</si>
  <si>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</si>
  <si>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</si>
  <si>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</si>
  <si>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</si>
  <si>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</si>
  <si>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</si>
  <si>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</si>
  <si>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</si>
  <si>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</si>
  <si>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</si>
  <si>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</si>
  <si>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</si>
  <si>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</si>
  <si>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</si>
  <si>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</si>
  <si>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</si>
  <si>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</si>
  <si>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</si>
  <si>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</si>
  <si>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</si>
  <si>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</si>
  <si>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</si>
  <si>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</si>
  <si>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</si>
  <si>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</si>
  <si>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</si>
  <si>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</si>
  <si>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</si>
  <si>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</si>
  <si>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</si>
  <si>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</si>
  <si>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</si>
  <si>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</si>
  <si>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</si>
  <si>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</si>
  <si>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</si>
  <si>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</si>
  <si>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</si>
  <si>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</si>
  <si>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</si>
  <si>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</si>
  <si>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</si>
  <si>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</si>
  <si>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</si>
  <si>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</si>
  <si>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</si>
  <si>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</si>
  <si>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</si>
  <si>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</si>
  <si>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</si>
  <si>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</si>
  <si>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</si>
  <si>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</si>
  <si>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</si>
  <si>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</si>
  <si>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</si>
  <si>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</si>
  <si>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</si>
  <si>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</si>
  <si>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</si>
  <si>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</si>
  <si>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</si>
  <si>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</si>
  <si>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</si>
  <si>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</si>
  <si>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</si>
  <si>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</si>
  <si>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</si>
  <si>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</si>
  <si>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</si>
  <si>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</si>
  <si>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</si>
  <si>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</si>
  <si>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</si>
  <si>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</si>
  <si>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</si>
  <si>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</si>
  <si>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</si>
  <si>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</si>
  <si>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</si>
  <si>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</si>
  <si>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</si>
  <si>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</si>
  <si>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</si>
  <si>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</si>
  <si>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</si>
  <si>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</si>
  <si>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</si>
  <si>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</si>
  <si>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</si>
  <si>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</si>
  <si>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</si>
  <si>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</si>
  <si>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</si>
  <si>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</si>
  <si>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</si>
  <si>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</si>
  <si>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</si>
  <si>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</si>
  <si>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</si>
  <si>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</si>
  <si>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</si>
  <si>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</si>
  <si>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</si>
  <si>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</si>
  <si>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</si>
  <si>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</si>
  <si>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</si>
  <si>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</si>
  <si>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</si>
  <si>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</si>
  <si>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</si>
  <si>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</si>
  <si>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</si>
  <si>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</si>
  <si>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</si>
  <si>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</si>
  <si>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</si>
  <si>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</si>
  <si>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</si>
  <si>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</si>
  <si>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</si>
  <si>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</si>
  <si>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</si>
  <si>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</si>
  <si>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</si>
  <si>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</si>
  <si>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</si>
  <si>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</si>
  <si>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</si>
  <si>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</si>
  <si>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</si>
  <si>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</si>
  <si>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</si>
  <si>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</si>
  <si>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</si>
  <si>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</si>
  <si>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</si>
  <si>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</si>
  <si>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</si>
  <si>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</si>
  <si>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</si>
  <si>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</si>
  <si>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</si>
  <si>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</si>
  <si>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</si>
  <si>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</si>
  <si>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</si>
  <si>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</si>
  <si>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</si>
  <si>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</si>
  <si>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</si>
  <si>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</si>
  <si>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</si>
  <si>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</si>
  <si>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</si>
  <si>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</si>
  <si>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</si>
  <si>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</si>
  <si>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</si>
  <si>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</si>
  <si>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</si>
  <si>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</si>
  <si>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</si>
  <si>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</si>
  <si>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</si>
  <si>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</si>
  <si>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</si>
  <si>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</si>
  <si>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</si>
  <si>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</si>
  <si>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</si>
  <si>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</si>
  <si>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</si>
  <si>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</si>
  <si>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</si>
  <si>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</si>
  <si>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</si>
  <si>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</si>
  <si>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</si>
  <si>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</si>
  <si>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</si>
  <si>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</si>
  <si>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</si>
  <si>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</si>
  <si>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</si>
  <si>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</si>
  <si>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</si>
  <si>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</si>
  <si>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</si>
  <si>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</si>
  <si>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</si>
  <si>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</si>
  <si>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</si>
  <si>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</si>
  <si>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</si>
  <si>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</si>
  <si>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</si>
  <si>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</si>
  <si>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</si>
  <si>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</si>
  <si>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</si>
  <si>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</si>
  <si>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</si>
  <si>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</si>
  <si>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</si>
  <si>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</si>
  <si>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</si>
  <si>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</si>
  <si>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</si>
  <si>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</si>
  <si>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</si>
  <si>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</si>
  <si>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</si>
  <si>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</si>
  <si>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</si>
  <si>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</si>
  <si>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</si>
  <si>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</si>
  <si>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</si>
  <si>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</si>
  <si>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</si>
  <si>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</si>
  <si>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</si>
  <si>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</si>
  <si>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</si>
  <si>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</si>
  <si>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</si>
  <si>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</si>
  <si>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</si>
  <si>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</si>
  <si>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</si>
  <si>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</si>
  <si>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</si>
  <si>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</si>
  <si>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</si>
  <si>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</si>
  <si>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</si>
  <si>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</si>
  <si>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</si>
  <si>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</si>
  <si>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</si>
  <si>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</si>
  <si>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</si>
  <si>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</si>
  <si>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</si>
  <si>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</si>
  <si>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</si>
  <si>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</si>
  <si>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</si>
  <si>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</si>
  <si>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</si>
  <si>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</si>
  <si>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</si>
  <si>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</si>
  <si>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</si>
  <si>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</si>
  <si>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</si>
  <si>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</si>
  <si>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</si>
  <si>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</si>
  <si>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</si>
  <si>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</si>
  <si>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</si>
  <si>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</si>
  <si>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</si>
  <si>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</si>
  <si>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</si>
  <si>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</si>
  <si>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</si>
  <si>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</si>
  <si>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</si>
  <si>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</si>
  <si>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</si>
  <si>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</si>
  <si>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</si>
  <si>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</si>
  <si>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</si>
  <si>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</si>
  <si>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</si>
  <si>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</si>
  <si>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</si>
  <si>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</si>
  <si>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</si>
  <si>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</si>
  <si>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</si>
  <si>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</si>
  <si>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</si>
  <si>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</si>
  <si>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</si>
  <si>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</si>
  <si>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</si>
  <si>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</si>
  <si>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</si>
  <si>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</si>
  <si>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</si>
  <si>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</si>
  <si>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</si>
  <si>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</si>
  <si>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</si>
  <si>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</si>
  <si>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</si>
  <si>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</si>
  <si>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</si>
  <si>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</si>
  <si>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</si>
  <si>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</si>
  <si>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</si>
  <si>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</si>
  <si>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</si>
  <si>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</si>
  <si>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</si>
  <si>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</si>
  <si>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</si>
  <si>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</si>
  <si>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</si>
  <si>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</si>
  <si>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</si>
  <si>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</si>
  <si>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</si>
  <si>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</si>
  <si>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</si>
  <si>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</si>
  <si>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</si>
  <si>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</si>
  <si>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</si>
  <si>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</si>
  <si>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</si>
  <si>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</si>
  <si>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</si>
  <si>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</si>
  <si>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</si>
  <si>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</si>
  <si>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</si>
  <si>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</si>
  <si>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</si>
  <si>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</si>
  <si>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</si>
  <si>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</si>
  <si>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</si>
  <si>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</si>
  <si>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</si>
  <si>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</si>
  <si>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</si>
  <si>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</si>
  <si>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</si>
  <si>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</si>
  <si>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</si>
  <si>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</si>
  <si>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</si>
  <si>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</si>
  <si>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</si>
  <si>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</si>
  <si>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</si>
  <si>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</si>
  <si>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</si>
  <si>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</si>
  <si>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</si>
  <si>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</si>
  <si>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</si>
  <si>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</si>
  <si>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</si>
  <si>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</si>
  <si>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</si>
  <si>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</si>
  <si>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</si>
  <si>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</si>
  <si>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</si>
  <si>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</si>
  <si>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</si>
  <si>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</si>
  <si>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</si>
  <si>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</si>
  <si>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</si>
  <si>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</si>
  <si>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</si>
  <si>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</si>
  <si>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</si>
  <si>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</si>
  <si>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</si>
  <si>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</si>
  <si>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</si>
  <si>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</si>
  <si>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</si>
  <si>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</si>
  <si>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</si>
  <si>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</si>
  <si>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</si>
  <si>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</si>
  <si>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</si>
  <si>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</si>
  <si>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</si>
  <si>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</si>
  <si>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</si>
  <si>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</si>
  <si>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</si>
  <si>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</si>
  <si>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</si>
  <si>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</si>
  <si>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</si>
  <si>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</si>
  <si>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</si>
  <si>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</si>
  <si>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</si>
  <si>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</si>
  <si>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</si>
  <si>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</si>
  <si>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</si>
  <si>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</si>
  <si>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</si>
  <si>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</si>
  <si>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</si>
  <si>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</si>
  <si>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</si>
  <si>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</si>
  <si>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</si>
  <si>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</si>
  <si>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</si>
  <si>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</si>
  <si>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</si>
  <si>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</si>
  <si>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</si>
  <si>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</si>
  <si>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</si>
  <si>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</si>
  <si>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</si>
  <si>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</si>
  <si>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</si>
  <si>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</si>
  <si>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</si>
  <si>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</si>
  <si>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</si>
  <si>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</si>
  <si>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</si>
  <si>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</si>
  <si>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</si>
  <si>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</si>
  <si>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</si>
  <si>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</si>
  <si>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</si>
  <si>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</si>
  <si>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</si>
  <si>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</si>
  <si>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</si>
  <si>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</si>
  <si>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</si>
  <si>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</si>
  <si>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</si>
  <si>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</si>
  <si>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</si>
  <si>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</si>
  <si>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</si>
  <si>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</si>
  <si>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</si>
  <si>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</si>
  <si>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</si>
  <si>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</si>
  <si>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</si>
  <si>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</si>
  <si>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</si>
  <si>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</si>
  <si>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</si>
  <si>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</si>
  <si>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</si>
  <si>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</si>
  <si>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</si>
  <si>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</si>
  <si>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</si>
  <si>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</si>
  <si>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</si>
  <si>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</si>
  <si>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</si>
  <si>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</si>
  <si>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</si>
  <si>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</si>
  <si>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</si>
  <si>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</si>
  <si>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</si>
  <si>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</si>
  <si>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</si>
  <si>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</si>
  <si>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</si>
  <si>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</si>
  <si>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</si>
  <si>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</si>
  <si>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</si>
  <si>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</si>
  <si>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</si>
  <si>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</si>
  <si>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</si>
  <si>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</si>
  <si>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</si>
  <si>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</si>
  <si>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</si>
  <si>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</si>
  <si>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</si>
  <si>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</si>
  <si>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</si>
  <si>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</si>
  <si>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</si>
  <si>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</si>
  <si>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</si>
  <si>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</si>
  <si>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</si>
  <si>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</si>
  <si>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</si>
  <si>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</si>
  <si>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</si>
  <si>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</si>
  <si>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</si>
  <si>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</si>
  <si>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</si>
  <si>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</si>
  <si>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</si>
  <si>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</si>
  <si>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</si>
  <si>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</si>
  <si>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</si>
  <si>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</si>
  <si>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</si>
  <si>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</si>
  <si>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</si>
  <si>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</si>
  <si>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</si>
  <si>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</si>
  <si>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</si>
  <si>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</si>
  <si>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</si>
  <si>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</si>
  <si>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</si>
  <si>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</si>
  <si>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</si>
  <si>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</si>
  <si>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</si>
  <si>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</si>
  <si>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</si>
  <si>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</si>
  <si>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</si>
  <si>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</si>
  <si>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</si>
  <si>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</si>
  <si>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</si>
  <si>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</si>
  <si>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</si>
  <si>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</si>
  <si>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</si>
  <si>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</si>
  <si>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</si>
  <si>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</si>
  <si>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</si>
  <si>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</si>
  <si>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</si>
  <si>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</si>
  <si>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</si>
  <si>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</si>
  <si>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</si>
  <si>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</si>
  <si>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</si>
  <si>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</si>
  <si>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</si>
  <si>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</si>
  <si>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</si>
  <si>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</si>
  <si>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</si>
  <si>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</si>
  <si>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</si>
  <si>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</si>
  <si>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</si>
  <si>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</si>
  <si>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</si>
  <si>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</si>
  <si>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</si>
  <si>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</si>
  <si>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</si>
  <si>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</si>
  <si>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</si>
  <si>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</si>
  <si>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</si>
  <si>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</si>
  <si>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</si>
  <si>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</si>
  <si>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</si>
  <si>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</si>
  <si>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</si>
  <si>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</si>
  <si>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</si>
  <si>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</si>
  <si>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</si>
  <si>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</si>
  <si>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</si>
  <si>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</si>
  <si>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</si>
  <si>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</si>
  <si>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</si>
  <si>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</si>
  <si>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</si>
  <si>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</si>
  <si>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</si>
  <si>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</si>
  <si>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</si>
  <si>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</si>
  <si>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</si>
  <si>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</si>
  <si>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</si>
  <si>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</si>
  <si>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</si>
  <si>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</si>
  <si>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</si>
  <si>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</si>
  <si>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</si>
  <si>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</si>
  <si>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</si>
  <si>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</si>
  <si>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</si>
  <si>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</si>
  <si>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</si>
  <si>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</si>
  <si>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</si>
  <si>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</si>
  <si>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</si>
  <si>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</si>
  <si>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</si>
  <si>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</si>
  <si>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</si>
  <si>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</si>
  <si>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</si>
  <si>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</si>
  <si>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</si>
  <si>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</si>
  <si>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</si>
  <si>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</si>
  <si>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</si>
  <si>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</si>
  <si>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</si>
  <si>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</si>
  <si>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</si>
  <si>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</si>
  <si>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</si>
  <si>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</si>
  <si>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</si>
  <si>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</si>
  <si>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</si>
  <si>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</si>
  <si>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</si>
  <si>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</si>
  <si>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</si>
  <si>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</si>
  <si>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</si>
  <si>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</si>
  <si>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</si>
  <si>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</si>
  <si>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</si>
  <si>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</si>
  <si>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</si>
  <si>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</si>
  <si>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</si>
  <si>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</si>
  <si>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</si>
  <si>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</si>
  <si>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</si>
  <si>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</si>
  <si>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</si>
  <si>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</si>
  <si>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</si>
  <si>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</si>
  <si>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</si>
  <si>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</si>
  <si>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</si>
  <si>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</si>
  <si>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</si>
  <si>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</si>
  <si>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</si>
  <si>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</si>
  <si>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</si>
  <si>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</si>
  <si>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</si>
  <si>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</si>
  <si>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</si>
  <si>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</si>
  <si>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</si>
  <si>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</si>
  <si>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</si>
  <si>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</si>
  <si>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</si>
  <si>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</si>
  <si>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</si>
  <si>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</si>
  <si>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</si>
  <si>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</si>
  <si>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</si>
  <si>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</si>
  <si>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</si>
  <si>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</si>
  <si>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</si>
  <si>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</si>
  <si>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</si>
  <si>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</si>
  <si>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</si>
  <si>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</si>
  <si>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</si>
  <si>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</si>
  <si>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</si>
  <si>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</si>
  <si>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</si>
  <si>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</si>
  <si>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</si>
  <si>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</si>
  <si>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</si>
  <si>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</si>
  <si>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</si>
  <si>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</si>
  <si>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</si>
  <si>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</si>
  <si>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</si>
  <si>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</si>
  <si>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</si>
  <si>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</si>
  <si>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</si>
  <si>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</si>
  <si>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</si>
  <si>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</si>
  <si>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</si>
  <si>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</si>
  <si>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</si>
  <si>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</si>
  <si>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</si>
  <si>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</si>
  <si>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</si>
  <si>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</si>
  <si>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</si>
  <si>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</si>
  <si>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</si>
  <si>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</si>
  <si>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</si>
  <si>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</si>
  <si>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</si>
  <si>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</si>
  <si>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</si>
  <si>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</si>
  <si>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</si>
  <si>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</si>
  <si>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</si>
  <si>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</si>
  <si>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</si>
  <si>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</si>
  <si>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</si>
  <si>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</si>
  <si>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</si>
  <si>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</si>
  <si>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</si>
  <si>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</si>
  <si>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</si>
  <si>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</si>
  <si>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</si>
  <si>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</si>
  <si>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</si>
  <si>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</si>
  <si>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</si>
  <si>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</si>
  <si>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</si>
  <si>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</si>
  <si>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</si>
  <si>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</si>
  <si>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</si>
  <si>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</si>
  <si>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</si>
  <si>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</si>
  <si>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</si>
  <si>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</si>
  <si>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</si>
  <si>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</si>
  <si>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</si>
  <si>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</si>
  <si>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</si>
  <si>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</si>
  <si>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</si>
  <si>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</si>
  <si>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</si>
  <si>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</si>
  <si>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</si>
  <si>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</si>
  <si>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</si>
  <si>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</si>
  <si>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</si>
  <si>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</si>
  <si>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</si>
  <si>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</si>
  <si>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</si>
  <si>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</si>
  <si>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</si>
  <si>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</si>
  <si>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</si>
  <si>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</si>
  <si>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</si>
  <si>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</si>
  <si>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</si>
  <si>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</si>
  <si>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</si>
  <si>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</si>
  <si>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</si>
  <si>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</si>
  <si>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</si>
  <si>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</si>
  <si>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</si>
  <si>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</si>
  <si>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</si>
  <si>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</si>
  <si>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</si>
  <si>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</si>
  <si>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</si>
  <si>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</si>
  <si>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</si>
  <si>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</si>
  <si>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</si>
  <si>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</si>
  <si>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</si>
  <si>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</si>
  <si>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</si>
  <si>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</si>
  <si>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</si>
  <si>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</si>
  <si>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</si>
  <si>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</si>
  <si>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</si>
  <si>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</si>
  <si>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</si>
  <si>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</si>
  <si>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</si>
  <si>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</si>
  <si>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</si>
  <si>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</si>
  <si>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</si>
  <si>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</si>
  <si>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</si>
  <si>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</si>
  <si>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</si>
  <si>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</si>
  <si>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</si>
  <si>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</si>
  <si>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</si>
  <si>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</si>
  <si>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</si>
  <si>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</si>
  <si>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</si>
  <si>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</si>
  <si>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</si>
  <si>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</si>
  <si>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</si>
  <si>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</si>
  <si>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</si>
  <si>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</si>
  <si>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</si>
  <si>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</si>
  <si>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</si>
  <si>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</si>
  <si>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</si>
  <si>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</si>
  <si>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</si>
  <si>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</si>
  <si>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</si>
  <si>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</si>
  <si>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</si>
  <si>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</si>
  <si>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</si>
  <si>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</si>
  <si>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</si>
  <si>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</si>
  <si>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</si>
  <si>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</si>
  <si>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</si>
  <si>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</si>
  <si>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</si>
  <si>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</si>
  <si>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</si>
  <si>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</si>
  <si>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</si>
  <si>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</si>
  <si>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</si>
  <si>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</si>
  <si>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</si>
  <si>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</si>
  <si>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</si>
  <si>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</si>
  <si>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</si>
  <si>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</si>
  <si>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</si>
  <si>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</si>
  <si>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</si>
  <si>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</si>
  <si>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</si>
  <si>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</si>
  <si>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</si>
  <si>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</si>
  <si>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</si>
  <si>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</si>
  <si>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</si>
  <si>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</si>
  <si>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</si>
  <si>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</si>
  <si>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</si>
  <si>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</si>
  <si>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</si>
  <si>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</si>
  <si>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</si>
  <si>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</si>
  <si>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</si>
  <si>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</si>
  <si>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</si>
  <si>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</si>
  <si>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</si>
  <si>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</si>
  <si>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</si>
  <si>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</si>
  <si>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</si>
  <si>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</si>
  <si>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</si>
  <si>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</si>
  <si>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</si>
  <si>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</si>
  <si>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</si>
  <si>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</si>
  <si>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</si>
  <si>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</si>
  <si>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</si>
  <si>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</si>
  <si>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</si>
  <si>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</si>
  <si>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</si>
  <si>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</si>
  <si>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</si>
  <si>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</si>
  <si>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</si>
  <si>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</si>
  <si>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</si>
  <si>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</si>
  <si>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</si>
  <si>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</si>
  <si>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</si>
  <si>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</si>
  <si>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</si>
  <si>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</si>
  <si>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</si>
  <si>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</si>
  <si>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</si>
  <si>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</si>
  <si>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</si>
  <si>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</si>
  <si>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</si>
  <si>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</si>
  <si>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</si>
  <si>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</si>
  <si>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</si>
  <si>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</si>
  <si>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</si>
  <si>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</si>
  <si>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</si>
  <si>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</si>
  <si>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</si>
  <si>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</si>
  <si>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</si>
  <si>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</si>
  <si>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</si>
  <si>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</si>
  <si>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</si>
  <si>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</si>
  <si>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</si>
  <si>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</si>
  <si>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</si>
  <si>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</si>
  <si>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</si>
  <si>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</si>
  <si>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</si>
  <si>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</si>
  <si>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</si>
  <si>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</si>
  <si>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</si>
  <si>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</si>
  <si>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</si>
  <si>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</si>
  <si>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</si>
  <si>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</si>
  <si>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</si>
  <si>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</si>
  <si>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</si>
  <si>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</si>
  <si>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</si>
  <si>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</si>
  <si>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</si>
  <si>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</si>
  <si>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</si>
  <si>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</si>
  <si>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</si>
  <si>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</si>
  <si>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</si>
  <si>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</si>
  <si>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</si>
  <si>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</si>
  <si>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</si>
  <si>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</si>
  <si>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</si>
  <si>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</si>
  <si>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</si>
  <si>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</si>
  <si>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</si>
  <si>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</si>
  <si>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</si>
  <si>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</si>
  <si>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</si>
  <si>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</si>
  <si>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</si>
  <si>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</si>
  <si>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</si>
  <si>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</si>
  <si>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</si>
  <si>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</si>
  <si>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</si>
  <si>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</si>
  <si>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</si>
  <si>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</si>
  <si>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</si>
  <si>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</si>
  <si>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</si>
  <si>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</si>
  <si>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</si>
  <si>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</si>
  <si>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</si>
  <si>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</si>
  <si>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</si>
  <si>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</si>
  <si>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</si>
  <si>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</si>
  <si>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</si>
  <si>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</si>
  <si>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</si>
  <si>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</si>
  <si>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</si>
  <si>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</si>
  <si>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</si>
  <si>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</si>
  <si>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</si>
  <si>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</si>
  <si>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</si>
  <si>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</si>
  <si>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</si>
  <si>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</si>
  <si>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</si>
  <si>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</si>
  <si>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</si>
  <si>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</si>
  <si>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</si>
  <si>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</si>
  <si>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</si>
  <si>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</si>
  <si>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</si>
  <si>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</si>
  <si>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</si>
  <si>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</si>
  <si>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</si>
  <si>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</si>
  <si>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</si>
  <si>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</si>
  <si>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</si>
  <si>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</si>
  <si>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</si>
  <si>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</si>
  <si>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</si>
  <si>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</si>
  <si>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</si>
  <si>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</si>
  <si>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</si>
  <si>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</si>
  <si>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</si>
  <si>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</si>
  <si>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</si>
  <si>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</si>
  <si>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</si>
  <si>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</si>
  <si>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</si>
  <si>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</si>
  <si>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</si>
  <si>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</si>
  <si>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</si>
  <si>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</si>
  <si>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</si>
  <si>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</si>
  <si>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</si>
  <si>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</si>
  <si>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</si>
  <si>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</si>
  <si>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</si>
  <si>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</si>
  <si>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</si>
  <si>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</si>
  <si>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</si>
  <si>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</si>
  <si>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</si>
  <si>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</si>
  <si>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</si>
  <si>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</si>
  <si>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</si>
  <si>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</si>
  <si>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</si>
  <si>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</si>
  <si>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</si>
  <si>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</si>
  <si>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</si>
  <si>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</si>
  <si>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</si>
  <si>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</si>
  <si>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</si>
  <si>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</si>
  <si>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</si>
  <si>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</si>
  <si>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</si>
  <si>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</si>
  <si>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</si>
  <si>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</si>
  <si>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</si>
  <si>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</si>
  <si>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</si>
  <si>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</si>
  <si>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</si>
  <si>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</si>
  <si>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</si>
  <si>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</si>
  <si>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</si>
  <si>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</si>
  <si>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</si>
  <si>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</si>
  <si>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</si>
  <si>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</si>
  <si>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</si>
  <si>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</si>
  <si>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</si>
  <si>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</si>
  <si>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</si>
  <si>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</si>
  <si>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</si>
  <si>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</si>
  <si>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</si>
  <si>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</si>
  <si>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</si>
  <si>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</si>
  <si>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</si>
  <si>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</si>
  <si>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</si>
  <si>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</si>
  <si>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</si>
  <si>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</si>
  <si>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</si>
  <si>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</si>
  <si>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</si>
  <si>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</si>
  <si>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</si>
  <si>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</si>
  <si>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</si>
  <si>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</si>
  <si>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</si>
  <si>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</si>
  <si>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</si>
  <si>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</si>
  <si>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</si>
  <si>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</si>
  <si>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</si>
  <si>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</si>
  <si>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</si>
  <si>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</si>
  <si>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</si>
  <si>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</si>
  <si>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</si>
  <si>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</si>
  <si>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</si>
  <si>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</si>
  <si>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</si>
  <si>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</si>
  <si>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</si>
  <si>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</si>
  <si>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</si>
  <si>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</si>
  <si>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</si>
  <si>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</si>
  <si>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</si>
  <si>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</si>
  <si>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</si>
  <si>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</si>
  <si>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</si>
  <si>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</si>
  <si>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</si>
  <si>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</si>
  <si>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</si>
  <si>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</si>
  <si>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</si>
  <si>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</si>
  <si>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</si>
  <si>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</si>
  <si>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</si>
  <si>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</si>
  <si>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</si>
  <si>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</si>
  <si>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</si>
  <si>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</si>
  <si>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</si>
  <si>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</si>
  <si>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</si>
  <si>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</si>
  <si>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</si>
  <si>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</si>
  <si>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</si>
  <si>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</si>
  <si>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</si>
  <si>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</si>
  <si>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</si>
  <si>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</si>
  <si>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</si>
  <si>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</si>
  <si>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</si>
  <si>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</si>
  <si>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</si>
  <si>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</si>
  <si>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</si>
  <si>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</si>
  <si>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</si>
  <si>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</si>
  <si>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</si>
  <si>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</si>
  <si>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</si>
  <si>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</si>
  <si>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</si>
  <si>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</si>
  <si>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</si>
  <si>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</si>
  <si>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</si>
  <si>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</si>
  <si>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</si>
  <si>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</si>
  <si>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</si>
  <si>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</si>
  <si>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</si>
  <si>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</si>
  <si>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</si>
  <si>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</si>
  <si>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</si>
  <si>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</si>
  <si>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</si>
  <si>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</si>
  <si>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</si>
  <si>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</si>
  <si>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</si>
  <si>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</si>
  <si>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</si>
  <si>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</si>
  <si>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</si>
  <si>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</si>
  <si>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</si>
  <si>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</si>
  <si>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</si>
  <si>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</si>
  <si>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</si>
  <si>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</si>
  <si>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</si>
  <si>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</si>
  <si>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</si>
  <si>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</si>
  <si>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</si>
  <si>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</si>
  <si>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</si>
  <si>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</si>
  <si>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</si>
  <si>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</si>
  <si>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</si>
  <si>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</si>
  <si>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</si>
  <si>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</si>
  <si>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</si>
  <si>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</si>
  <si>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</si>
  <si>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</si>
  <si>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</si>
  <si>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</si>
  <si>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</si>
  <si>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</si>
  <si>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</si>
  <si>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</si>
  <si>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</si>
  <si>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</si>
  <si>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</si>
  <si>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</si>
  <si>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</si>
  <si>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</si>
  <si>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</si>
  <si>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</si>
  <si>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</si>
  <si>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</si>
  <si>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</si>
  <si>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</si>
  <si>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</si>
  <si>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</si>
  <si>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</si>
  <si>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</si>
  <si>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</si>
  <si>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</si>
  <si>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</si>
  <si>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</si>
  <si>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</si>
  <si>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</si>
  <si>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</si>
  <si>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</si>
  <si>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</si>
  <si>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</si>
  <si>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</si>
  <si>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</si>
  <si>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</si>
  <si>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</si>
  <si>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</si>
  <si>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</si>
  <si>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</si>
  <si>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</si>
  <si>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</si>
  <si>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</si>
  <si>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</si>
  <si>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</si>
  <si>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</si>
  <si>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</si>
  <si>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</si>
  <si>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</si>
  <si>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</si>
  <si>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</si>
  <si>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</si>
  <si>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</si>
  <si>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</si>
  <si>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</si>
  <si>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</si>
  <si>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</si>
  <si>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</si>
  <si>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</si>
  <si>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</si>
  <si>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</si>
  <si>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</si>
  <si>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</si>
  <si>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</si>
  <si>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</si>
  <si>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</si>
  <si>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</si>
  <si>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</si>
  <si>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</si>
  <si>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</si>
  <si>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</si>
  <si>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</si>
  <si>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</si>
  <si>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</si>
  <si>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</si>
  <si>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</si>
  <si>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</si>
  <si>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</si>
  <si>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</si>
  <si>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</si>
  <si>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</si>
  <si>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</si>
  <si>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</si>
  <si>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</si>
  <si>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</si>
  <si>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</si>
  <si>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</si>
  <si>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</si>
  <si>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</si>
  <si>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</si>
  <si>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</si>
  <si>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</si>
  <si>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</si>
  <si>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</si>
  <si>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</si>
  <si>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</si>
  <si>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</si>
  <si>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</si>
  <si>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</si>
  <si>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</si>
  <si>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</si>
  <si>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</si>
  <si>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</si>
  <si>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</si>
  <si>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</si>
  <si>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</si>
  <si>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</si>
  <si>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</si>
  <si>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</si>
  <si>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</si>
  <si>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</si>
  <si>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</si>
  <si>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</si>
  <si>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</si>
  <si>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</si>
  <si>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</si>
  <si>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</si>
  <si>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</si>
  <si>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</si>
  <si>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</si>
  <si>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</si>
  <si>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</si>
  <si>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</si>
  <si>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</si>
  <si>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</si>
  <si>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</si>
  <si>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</si>
  <si>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</si>
  <si>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</si>
  <si>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</si>
  <si>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</si>
  <si>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</si>
  <si>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</si>
  <si>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</si>
  <si>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</si>
  <si>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</si>
  <si>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</si>
  <si>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</si>
  <si>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</si>
  <si>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</si>
  <si>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</si>
  <si>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</si>
  <si>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</si>
  <si>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</si>
  <si>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</si>
  <si>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</si>
  <si>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</si>
  <si>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</si>
  <si>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</si>
  <si>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</si>
  <si>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</si>
  <si>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</si>
  <si>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</si>
  <si>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</si>
  <si>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</si>
  <si>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</si>
  <si>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</si>
  <si>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</si>
  <si>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</si>
  <si>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</si>
  <si>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</si>
  <si>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</si>
  <si>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</si>
  <si>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</si>
  <si>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</si>
  <si>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</si>
  <si>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</si>
  <si>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</si>
  <si>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</si>
  <si>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</si>
  <si>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</si>
  <si>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</si>
  <si>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</si>
  <si>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</si>
  <si>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</si>
  <si>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</si>
  <si>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</si>
  <si>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</si>
  <si>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</si>
  <si>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</si>
  <si>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</si>
  <si>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</si>
  <si>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</si>
  <si>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</si>
  <si>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</si>
  <si>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</si>
  <si>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</si>
  <si>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</si>
  <si>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</si>
  <si>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</si>
  <si>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</si>
  <si>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</si>
  <si>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</si>
  <si>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</si>
  <si>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</si>
  <si>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</si>
  <si>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</si>
  <si>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</si>
  <si>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</si>
  <si>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</si>
  <si>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</si>
  <si>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</si>
  <si>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</si>
  <si>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</si>
  <si>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</si>
  <si>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</si>
  <si>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</si>
  <si>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</si>
  <si>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</si>
  <si>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</si>
  <si>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</si>
  <si>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</si>
  <si>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</si>
  <si>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</si>
  <si>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</si>
  <si>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</si>
  <si>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</si>
  <si>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</si>
  <si>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</si>
  <si>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</si>
  <si>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</si>
  <si>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</si>
  <si>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</si>
  <si>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</si>
  <si>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</si>
  <si>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</si>
  <si>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</si>
  <si>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</si>
  <si>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</si>
  <si>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</si>
  <si>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</si>
  <si>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</si>
  <si>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</si>
  <si>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</si>
  <si>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</si>
  <si>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</si>
  <si>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</si>
  <si>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</si>
  <si>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</si>
  <si>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</si>
  <si>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</si>
  <si>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</si>
  <si>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</si>
  <si>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</si>
  <si>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</si>
  <si>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</si>
  <si>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</si>
  <si>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</si>
  <si>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</si>
  <si>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</si>
  <si>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</si>
  <si>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</si>
  <si>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</si>
  <si>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</si>
  <si>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</si>
  <si>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</si>
  <si>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</si>
  <si>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</si>
  <si>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</si>
  <si>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</si>
  <si>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</si>
  <si>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</si>
  <si>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</si>
  <si>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</si>
  <si>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</si>
  <si>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</si>
  <si>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</si>
  <si>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</si>
  <si>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</si>
  <si>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</si>
  <si>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</si>
  <si>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</si>
  <si>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</si>
  <si>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</si>
  <si>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</si>
  <si>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</si>
  <si>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</si>
  <si>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</si>
  <si>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</si>
  <si>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</si>
  <si>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</si>
  <si>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</si>
  <si>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</si>
  <si>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</si>
  <si>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</si>
  <si>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</si>
  <si>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</si>
  <si>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</si>
  <si>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</si>
  <si>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</si>
  <si>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</si>
  <si>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</si>
  <si>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</si>
  <si>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</si>
  <si>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</si>
  <si>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</si>
  <si>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</si>
  <si>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</si>
  <si>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</si>
  <si>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</si>
  <si>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</si>
  <si>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</si>
  <si>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</si>
  <si>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</si>
  <si>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</si>
  <si>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</si>
  <si>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</si>
  <si>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</si>
  <si>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</si>
  <si>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</si>
  <si>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</si>
  <si>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</si>
  <si>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</si>
  <si>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</si>
  <si>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</si>
  <si>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</si>
  <si>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</si>
  <si>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</si>
  <si>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</si>
  <si>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</si>
  <si>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</si>
  <si>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</si>
  <si>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</si>
  <si>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</si>
  <si>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</si>
  <si>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</si>
  <si>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</si>
  <si>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</si>
  <si>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</si>
  <si>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</si>
  <si>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</si>
  <si>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</si>
  <si>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</si>
  <si>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</si>
  <si>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</si>
  <si>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</si>
  <si>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</si>
  <si>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</si>
  <si>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</si>
  <si>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</si>
  <si>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</si>
  <si>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</si>
  <si>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</si>
  <si>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</si>
  <si>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</si>
  <si>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</si>
  <si>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</si>
  <si>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</si>
  <si>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</si>
  <si>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</si>
  <si>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</si>
  <si>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</si>
  <si>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</si>
  <si>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</si>
  <si>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</si>
  <si>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</si>
  <si>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</si>
  <si>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</si>
  <si>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</si>
  <si>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</si>
  <si>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</si>
  <si>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</si>
  <si>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</si>
  <si>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</si>
  <si>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</si>
  <si>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</si>
  <si>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</si>
  <si>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</si>
  <si>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</si>
  <si>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</si>
  <si>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</si>
  <si>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</si>
  <si>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</si>
  <si>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</si>
  <si>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</si>
  <si>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</si>
  <si>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</si>
  <si>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</si>
  <si>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</si>
  <si>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</si>
  <si>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</si>
  <si>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</si>
  <si>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</si>
  <si>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</si>
  <si>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</si>
  <si>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</si>
  <si>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</si>
  <si>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</si>
  <si>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</si>
  <si>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</si>
  <si>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</si>
  <si>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</si>
  <si>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</si>
  <si>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</si>
  <si>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</si>
  <si>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</si>
  <si>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</si>
  <si>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</si>
  <si>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</si>
  <si>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</si>
  <si>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</si>
  <si>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</si>
  <si>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</si>
  <si>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</si>
  <si>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</si>
  <si>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</si>
  <si>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</si>
  <si>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</si>
  <si>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</si>
  <si>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</si>
  <si>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</si>
  <si>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</si>
  <si>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</si>
  <si>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</si>
  <si>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</si>
  <si>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</si>
  <si>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</si>
  <si>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</si>
  <si>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</si>
  <si>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</si>
  <si>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</si>
  <si>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</si>
  <si>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</si>
  <si>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</si>
  <si>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</si>
  <si>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</si>
  <si>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</si>
  <si>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</si>
  <si>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</si>
  <si>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</si>
  <si>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</si>
  <si>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</si>
  <si>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</si>
  <si>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</si>
  <si>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</si>
  <si>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</si>
  <si>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</si>
  <si>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</si>
  <si>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</si>
  <si>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</si>
  <si>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</si>
  <si>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</si>
  <si>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</si>
  <si>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</si>
  <si>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</si>
  <si>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</si>
  <si>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</si>
  <si>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</si>
  <si>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</si>
  <si>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</si>
  <si>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</si>
  <si>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</si>
  <si>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</si>
  <si>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</si>
  <si>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</si>
  <si>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</si>
  <si>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</si>
  <si>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</si>
  <si>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</si>
  <si>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</si>
  <si>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</si>
  <si>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</si>
  <si>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</si>
  <si>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</si>
  <si>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</si>
  <si>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</si>
  <si>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</si>
  <si>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</si>
  <si>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</si>
  <si>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</si>
  <si>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</si>
  <si>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</si>
  <si>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</si>
  <si>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</si>
  <si>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</si>
  <si>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</si>
  <si>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</si>
  <si>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</si>
  <si>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</si>
  <si>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</si>
  <si>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</si>
  <si>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</si>
  <si>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</si>
  <si>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</si>
  <si>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</si>
  <si>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</si>
  <si>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</si>
  <si>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</si>
  <si>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</si>
  <si>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</si>
  <si>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</si>
  <si>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</si>
  <si>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</si>
  <si>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</si>
  <si>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</si>
  <si>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</si>
  <si>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</si>
  <si>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</si>
  <si>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</si>
  <si>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</si>
  <si>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</si>
  <si>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</si>
  <si>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</si>
  <si>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</si>
  <si>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</si>
  <si>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</si>
  <si>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</si>
  <si>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</si>
  <si>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</si>
  <si>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</si>
  <si>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</si>
  <si>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</si>
  <si>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</si>
  <si>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</si>
  <si>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</si>
  <si>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</si>
  <si>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</si>
  <si>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</si>
  <si>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</si>
  <si>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</si>
  <si>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</si>
  <si>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</si>
  <si>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</si>
  <si>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</si>
  <si>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</si>
  <si>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</si>
  <si>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</si>
  <si>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</si>
  <si>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</si>
  <si>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</si>
  <si>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</si>
  <si>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</si>
  <si>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</si>
  <si>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</si>
  <si>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</si>
  <si>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</si>
  <si>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</si>
  <si>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</si>
  <si>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</si>
  <si>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</si>
  <si>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</si>
  <si>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</si>
  <si>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</si>
  <si>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</si>
  <si>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</si>
  <si>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</si>
  <si>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</si>
  <si>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</si>
  <si>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</si>
  <si>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</si>
  <si>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</si>
  <si>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</si>
  <si>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</si>
  <si>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</si>
  <si>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</si>
  <si>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</si>
  <si>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</si>
  <si>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</si>
  <si>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</si>
  <si>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</si>
  <si>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</si>
  <si>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</si>
  <si>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</si>
  <si>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</si>
  <si>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</si>
  <si>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</si>
  <si>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</si>
  <si>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</si>
  <si>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</si>
  <si>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</si>
  <si>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</si>
  <si>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</si>
  <si>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</si>
  <si>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</si>
  <si>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</si>
  <si>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</si>
  <si>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</si>
  <si>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</si>
  <si>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</si>
  <si>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</si>
  <si>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</si>
  <si>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</si>
  <si>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</si>
  <si>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</si>
  <si>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</si>
  <si>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</si>
  <si>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</si>
  <si>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</si>
  <si>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</si>
  <si>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</si>
  <si>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</si>
  <si>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</si>
  <si>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</si>
  <si>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</si>
  <si>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</si>
  <si>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</si>
  <si>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</si>
  <si>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</si>
  <si>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</si>
  <si>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</si>
  <si>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</si>
  <si>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</si>
  <si>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</si>
  <si>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</si>
  <si>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</si>
  <si>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</si>
  <si>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</si>
  <si>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</si>
  <si>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</si>
  <si>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</si>
  <si>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</si>
  <si>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</si>
  <si>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</si>
  <si>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</si>
  <si>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</si>
  <si>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</si>
  <si>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</si>
  <si>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</si>
  <si>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</si>
  <si>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</si>
  <si>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</si>
  <si>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</si>
  <si>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</si>
  <si>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</si>
  <si>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</si>
  <si>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</si>
  <si>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</si>
  <si>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</si>
  <si>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</si>
  <si>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</si>
  <si>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</si>
  <si>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</si>
  <si>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</si>
  <si>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</si>
  <si>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</si>
  <si>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</si>
  <si>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</si>
  <si>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</si>
  <si>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</si>
  <si>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</si>
  <si>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</si>
  <si>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</si>
  <si>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</si>
  <si>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</si>
  <si>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</si>
  <si>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</si>
  <si>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</si>
  <si>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</si>
  <si>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</si>
  <si>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</si>
  <si>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</si>
  <si>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</si>
  <si>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</si>
  <si>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</si>
  <si>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</si>
  <si>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</si>
  <si>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</si>
  <si>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</si>
  <si>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</si>
  <si>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</si>
  <si>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</si>
  <si>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</si>
  <si>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</si>
  <si>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</si>
  <si>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</si>
  <si>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</si>
  <si>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</si>
  <si>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</si>
  <si>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</si>
  <si>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</si>
  <si>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</si>
  <si>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</si>
  <si>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</si>
  <si>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</si>
  <si>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</si>
  <si>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</si>
  <si>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</si>
  <si>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</si>
  <si>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</si>
  <si>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</si>
  <si>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</si>
  <si>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</si>
  <si>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</si>
  <si>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</si>
  <si>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</si>
  <si>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</si>
  <si>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</si>
  <si>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</si>
  <si>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</si>
  <si>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</si>
  <si>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</si>
  <si>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</si>
  <si>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</si>
  <si>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</si>
  <si>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</si>
  <si>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</si>
  <si>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</si>
  <si>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</si>
  <si>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</si>
  <si>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</si>
  <si>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</si>
  <si>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</si>
  <si>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</si>
  <si>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</si>
  <si>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</si>
  <si>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</si>
  <si>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</si>
  <si>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</si>
  <si>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</si>
  <si>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</si>
  <si>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</si>
  <si>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</si>
  <si>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</si>
  <si>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</si>
  <si>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</si>
  <si>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</si>
  <si>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</si>
  <si>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</si>
  <si>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</si>
  <si>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</si>
  <si>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</si>
  <si>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</si>
  <si>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</si>
  <si>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</si>
  <si>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</si>
  <si>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</si>
  <si>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</si>
  <si>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</si>
  <si>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</si>
  <si>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</si>
  <si>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</si>
  <si>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</si>
  <si>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</si>
  <si>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</si>
  <si>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</si>
  <si>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</si>
  <si>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</si>
  <si>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</si>
  <si>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</si>
  <si>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</si>
  <si>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</si>
  <si>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</si>
  <si>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</si>
  <si>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</si>
  <si>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</si>
  <si>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</si>
  <si>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</si>
  <si>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</si>
  <si>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</si>
  <si>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</si>
  <si>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</si>
  <si>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</si>
  <si>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</si>
  <si>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</si>
  <si>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</si>
  <si>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</si>
  <si>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</si>
  <si>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</si>
  <si>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</si>
  <si>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</si>
  <si>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</si>
  <si>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</si>
  <si>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</si>
  <si>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</si>
  <si>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</si>
  <si>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</si>
  <si>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</si>
  <si>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</si>
  <si>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</si>
  <si>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</si>
  <si>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</si>
  <si>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</si>
  <si>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</si>
  <si>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</si>
  <si>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</si>
  <si>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</si>
  <si>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</si>
  <si>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</si>
  <si>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</si>
  <si>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</si>
  <si>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</si>
  <si>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</si>
  <si>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</si>
  <si>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</si>
  <si>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</si>
  <si>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</si>
  <si>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</si>
  <si>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</si>
  <si>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</si>
  <si>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</si>
  <si>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</si>
  <si>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</si>
  <si>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</si>
  <si>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</si>
  <si>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</si>
  <si>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</si>
  <si>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</si>
  <si>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</si>
  <si>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</si>
  <si>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</si>
  <si>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</si>
  <si>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</si>
  <si>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</si>
  <si>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</si>
  <si>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</si>
  <si>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</si>
  <si>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</si>
  <si>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</si>
  <si>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</si>
  <si>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</si>
  <si>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</si>
  <si>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</si>
  <si>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</si>
  <si>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</si>
  <si>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</si>
  <si>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</si>
  <si>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</si>
  <si>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</si>
  <si>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</si>
  <si>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</si>
  <si>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</si>
  <si>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</si>
  <si>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</si>
  <si>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</si>
  <si>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</si>
  <si>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</si>
  <si>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</si>
  <si>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</si>
  <si>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</si>
  <si>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</si>
  <si>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</si>
  <si>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</si>
  <si>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</si>
  <si>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</si>
  <si>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</si>
  <si>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</si>
  <si>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</si>
  <si>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</si>
  <si>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</si>
  <si>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</si>
  <si>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</si>
  <si>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</si>
  <si>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</si>
  <si>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</si>
  <si>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</si>
  <si>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</si>
  <si>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</si>
  <si>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</si>
  <si>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</si>
  <si>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</si>
  <si>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</si>
  <si>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</si>
  <si>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</si>
  <si>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</si>
  <si>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</si>
  <si>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</si>
  <si>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</si>
  <si>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</si>
  <si>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</si>
  <si>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</si>
  <si>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</si>
  <si>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</si>
  <si>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</si>
  <si>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</si>
  <si>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</si>
  <si>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</si>
  <si>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</si>
  <si>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</si>
  <si>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</si>
  <si>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</si>
  <si>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</si>
  <si>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</si>
  <si>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</si>
  <si>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</si>
  <si>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</si>
  <si>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</si>
  <si>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</si>
  <si>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</si>
  <si>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</si>
  <si>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</si>
  <si>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</si>
  <si>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</si>
  <si>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</si>
  <si>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</si>
  <si>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</si>
  <si>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</si>
  <si>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</si>
  <si>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</si>
  <si>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</si>
  <si>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</si>
  <si>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</si>
  <si>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</si>
  <si>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</si>
  <si>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</si>
  <si>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</si>
  <si>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</si>
  <si>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</si>
  <si>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</si>
  <si>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</si>
  <si>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</si>
  <si>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</si>
  <si>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</si>
  <si>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</si>
  <si>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</si>
  <si>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</si>
  <si>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</si>
  <si>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</si>
  <si>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</si>
  <si>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</si>
  <si>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</si>
  <si>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</si>
  <si>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</si>
  <si>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</si>
  <si>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</si>
  <si>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</si>
  <si>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</si>
  <si>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</si>
  <si>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</si>
  <si>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</si>
  <si>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</si>
  <si>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</si>
  <si>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</si>
  <si>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</si>
  <si>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</si>
  <si>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</si>
  <si>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</si>
  <si>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</si>
  <si>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</si>
  <si>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</si>
  <si>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</si>
  <si>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</si>
  <si>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</si>
  <si>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</si>
  <si>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</si>
  <si>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</si>
  <si>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</si>
  <si>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</si>
  <si>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</si>
  <si>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</si>
  <si>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</si>
  <si>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</si>
  <si>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</si>
  <si>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</si>
  <si>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</si>
  <si>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</si>
  <si>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</si>
  <si>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</si>
  <si>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</si>
  <si>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</si>
  <si>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</si>
  <si>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</si>
  <si>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</si>
  <si>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</si>
  <si>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</si>
  <si>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</si>
  <si>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</si>
  <si>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</si>
  <si>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</si>
  <si>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</si>
  <si>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</si>
  <si>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</si>
  <si>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</si>
  <si>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</si>
  <si>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</si>
  <si>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</si>
  <si>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</si>
  <si>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</si>
  <si>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</si>
  <si>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</si>
  <si>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</si>
  <si>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</si>
  <si>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</si>
  <si>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</si>
  <si>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</si>
  <si>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</si>
  <si>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</si>
  <si>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</si>
  <si>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</si>
  <si>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</si>
  <si>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</si>
  <si>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</si>
  <si>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</si>
  <si>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</si>
  <si>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</si>
  <si>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</si>
  <si>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</si>
  <si>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</si>
  <si>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</si>
  <si>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</si>
  <si>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</si>
  <si>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</si>
  <si>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</si>
  <si>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</si>
  <si>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</si>
  <si>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</si>
  <si>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</si>
  <si>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</si>
  <si>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</si>
  <si>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</si>
  <si>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</si>
  <si>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</si>
  <si>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</si>
  <si>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</si>
  <si>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</si>
  <si>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</si>
  <si>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</si>
  <si>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</si>
  <si>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</si>
  <si>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</si>
  <si>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</si>
  <si>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</si>
  <si>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</si>
  <si>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</si>
  <si>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</si>
  <si>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</si>
  <si>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</si>
  <si>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</si>
  <si>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</si>
  <si>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</si>
  <si>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</si>
  <si>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</si>
  <si>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</si>
  <si>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</si>
  <si>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</si>
  <si>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</si>
  <si>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</si>
  <si>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</si>
  <si>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</si>
  <si>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</si>
  <si>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</si>
  <si>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</si>
  <si>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</si>
  <si>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</si>
  <si>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</si>
  <si>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</si>
  <si>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</si>
  <si>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</si>
  <si>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</si>
  <si>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</si>
  <si>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</si>
  <si>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</si>
  <si>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</si>
  <si>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</si>
  <si>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</si>
  <si>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</si>
  <si>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</si>
  <si>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</si>
  <si>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</si>
  <si>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</si>
  <si>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</si>
  <si>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</si>
  <si>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</si>
  <si>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</si>
  <si>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</si>
  <si>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</si>
  <si>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</si>
  <si>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</si>
  <si>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</si>
  <si>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</si>
  <si>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</si>
  <si>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</si>
  <si>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</si>
  <si>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</si>
  <si>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</si>
  <si>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</si>
  <si>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</si>
  <si>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</si>
  <si>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</si>
  <si>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</si>
  <si>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</si>
  <si>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</si>
  <si>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</si>
  <si>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</si>
  <si>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</si>
  <si>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</si>
  <si>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</si>
  <si>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</si>
  <si>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</si>
  <si>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</si>
  <si>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</si>
  <si>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</si>
  <si>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</si>
  <si>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</si>
  <si>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</si>
  <si>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</si>
  <si>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</si>
  <si>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</si>
  <si>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</si>
  <si>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</si>
  <si>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</si>
  <si>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</si>
  <si>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</si>
  <si>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</si>
  <si>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</si>
  <si>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</si>
  <si>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</si>
  <si>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</si>
  <si>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</si>
  <si>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</si>
  <si>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</si>
  <si>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</si>
  <si>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</si>
  <si>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</si>
  <si>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</si>
  <si>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</si>
  <si>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</si>
  <si>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</si>
  <si>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</si>
  <si>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</si>
  <si>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</si>
  <si>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</si>
  <si>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</si>
  <si>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</si>
  <si>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</si>
  <si>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</si>
  <si>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</si>
  <si>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</si>
  <si>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</si>
  <si>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</si>
  <si>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</si>
  <si>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</si>
  <si>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</si>
  <si>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</si>
  <si>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</si>
  <si>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</si>
  <si>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</si>
  <si>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</si>
  <si>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</si>
  <si>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</si>
  <si>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</si>
  <si>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</si>
  <si>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</si>
  <si>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</si>
  <si>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</si>
  <si>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</si>
  <si>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</si>
  <si>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</si>
  <si>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</si>
  <si>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</si>
  <si>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</si>
  <si>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</si>
  <si>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</si>
  <si>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</si>
  <si>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</si>
  <si>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</si>
  <si>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</si>
  <si>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</si>
  <si>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</si>
  <si>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</si>
  <si>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</si>
  <si>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</si>
  <si>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</si>
  <si>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</si>
  <si>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</si>
  <si>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</si>
  <si>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</si>
  <si>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</si>
  <si>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</si>
  <si>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</si>
  <si>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</si>
  <si>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</si>
  <si>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</si>
  <si>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</si>
  <si>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</si>
  <si>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</si>
  <si>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</si>
  <si>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</si>
  <si>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</si>
  <si>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</si>
  <si>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</si>
  <si>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</si>
  <si>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</si>
  <si>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</si>
  <si>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</si>
  <si>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</si>
  <si>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</si>
  <si>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</si>
  <si>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</si>
  <si>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</si>
  <si>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</si>
  <si>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</si>
  <si>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</si>
  <si>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</si>
  <si>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</si>
  <si>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</si>
  <si>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</si>
  <si>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</si>
  <si>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</si>
  <si>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</si>
  <si>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</si>
  <si>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</si>
  <si>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</si>
  <si>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</si>
  <si>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</si>
  <si>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</si>
  <si>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</si>
  <si>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</si>
  <si>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</si>
  <si>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</si>
  <si>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</si>
  <si>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</si>
  <si>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</si>
  <si>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</si>
  <si>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</si>
  <si>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</si>
  <si>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</si>
  <si>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</si>
  <si>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</si>
  <si>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</si>
  <si>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</si>
  <si>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</si>
  <si>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</si>
  <si>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</si>
  <si>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</si>
  <si>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</si>
  <si>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</si>
  <si>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</si>
  <si>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</si>
  <si>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</si>
  <si>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</si>
  <si>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</si>
  <si>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</si>
  <si>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</si>
  <si>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</si>
  <si>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</si>
  <si>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</si>
  <si>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</si>
  <si>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</si>
  <si>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</si>
  <si>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</si>
  <si>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</si>
  <si>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</si>
  <si>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</si>
  <si>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</si>
  <si>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</si>
  <si>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</si>
  <si>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</si>
  <si>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</si>
  <si>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</si>
  <si>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</si>
  <si>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</si>
  <si>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</si>
  <si>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</si>
  <si>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</si>
  <si>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</si>
  <si>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</si>
  <si>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</si>
  <si>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</si>
  <si>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</si>
  <si>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</si>
  <si>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</si>
  <si>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</si>
  <si>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</si>
  <si>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</si>
  <si>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</si>
  <si>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</si>
  <si>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</si>
  <si>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</si>
  <si>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</si>
  <si>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</si>
  <si>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</si>
  <si>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</si>
  <si>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</si>
  <si>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</si>
  <si>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</si>
  <si>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</si>
  <si>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</si>
  <si>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</si>
  <si>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</si>
  <si>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</si>
  <si>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</si>
  <si>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</si>
  <si>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</si>
  <si>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</si>
  <si>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</si>
  <si>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</si>
  <si>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</si>
  <si>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</si>
  <si>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</si>
  <si>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</si>
  <si>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</si>
  <si>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</si>
  <si>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</si>
  <si>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</si>
  <si>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</si>
  <si>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</si>
  <si>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</si>
  <si>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</si>
  <si>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</si>
  <si>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</si>
  <si>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</si>
  <si>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</si>
  <si>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</si>
  <si>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</si>
  <si>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</si>
  <si>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</si>
  <si>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</si>
  <si>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</si>
  <si>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</si>
  <si>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</si>
  <si>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</si>
  <si>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</si>
  <si>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</si>
  <si>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</si>
  <si>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</si>
  <si>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</si>
  <si>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</si>
  <si>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</si>
  <si>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</si>
  <si>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</si>
  <si>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</si>
  <si>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</si>
  <si>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</si>
  <si>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</si>
  <si>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</si>
  <si>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</si>
  <si>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</si>
  <si>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</si>
  <si>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</si>
  <si>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</si>
  <si>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</si>
  <si>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</si>
  <si>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</si>
  <si>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</si>
  <si>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</si>
  <si>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</si>
  <si>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</si>
  <si>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</si>
  <si>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</si>
  <si>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</si>
  <si>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</si>
  <si>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</si>
  <si>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</si>
  <si>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</si>
  <si>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</si>
  <si>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</si>
  <si>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</si>
  <si>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</si>
  <si>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</si>
  <si>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</si>
  <si>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</si>
  <si>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</si>
  <si>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</si>
  <si>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</si>
  <si>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</si>
  <si>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</si>
  <si>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</si>
  <si>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</si>
  <si>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</si>
  <si>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</si>
  <si>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</si>
  <si>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</si>
  <si>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</si>
  <si>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</si>
  <si>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</si>
  <si>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</si>
  <si>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</si>
  <si>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</si>
  <si>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</si>
  <si>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</si>
  <si>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</si>
  <si>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</si>
  <si>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</si>
  <si>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</si>
  <si>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</si>
  <si>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</si>
  <si>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</si>
  <si>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</si>
  <si>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</si>
  <si>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</si>
  <si>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</si>
  <si>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</si>
  <si>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</si>
  <si>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</si>
  <si>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</si>
  <si>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</si>
  <si>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</si>
  <si>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</si>
  <si>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</si>
  <si>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</si>
  <si>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</si>
  <si>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</si>
  <si>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</si>
  <si>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</si>
  <si>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</si>
  <si>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</si>
  <si>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</si>
  <si>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</si>
  <si>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</si>
  <si>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</si>
  <si>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</si>
  <si>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</si>
  <si>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</si>
  <si>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</si>
  <si>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</si>
  <si>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</si>
  <si>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</si>
  <si>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</si>
  <si>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</si>
  <si>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</si>
  <si>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</si>
  <si>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</si>
  <si>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</si>
  <si>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</si>
  <si>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</si>
  <si>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</si>
  <si>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</si>
  <si>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</si>
  <si>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</si>
  <si>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</si>
  <si>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</si>
  <si>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</si>
  <si>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</si>
  <si>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</si>
  <si>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</si>
  <si>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</si>
  <si>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</si>
  <si>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</si>
  <si>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</si>
  <si>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</si>
  <si>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</si>
  <si>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</si>
  <si>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</si>
  <si>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</si>
  <si>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</si>
  <si>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</si>
  <si>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</si>
  <si>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</si>
  <si>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</si>
  <si>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</si>
  <si>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</si>
  <si>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</si>
  <si>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</si>
  <si>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</si>
  <si>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</si>
  <si>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</si>
  <si>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</si>
  <si>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</si>
  <si>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</si>
  <si>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</si>
  <si>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</si>
  <si>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</si>
  <si>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</si>
  <si>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</si>
  <si>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</si>
  <si>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</si>
  <si>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</si>
  <si>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</si>
  <si>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</si>
  <si>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</si>
  <si>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</si>
  <si>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</si>
  <si>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</si>
  <si>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</si>
  <si>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</si>
  <si>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</si>
  <si>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</si>
  <si>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</si>
  <si>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</si>
  <si>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</si>
  <si>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</si>
  <si>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</si>
  <si>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</si>
  <si>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</si>
  <si>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</si>
  <si>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</si>
  <si>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</si>
  <si>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</si>
  <si>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</si>
  <si>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</si>
  <si>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</si>
  <si>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</si>
  <si>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</si>
  <si>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</si>
  <si>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</si>
  <si>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</si>
  <si>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</si>
  <si>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</si>
  <si>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</si>
  <si>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</si>
  <si>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</si>
  <si>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</si>
  <si>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</si>
  <si>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</si>
  <si>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</si>
  <si>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</si>
  <si>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</si>
  <si>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</si>
  <si>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</si>
  <si>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</si>
  <si>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</si>
  <si>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</si>
  <si>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</si>
  <si>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</si>
  <si>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</si>
  <si>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</si>
  <si>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</si>
  <si>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</si>
  <si>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</si>
  <si>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</si>
  <si>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</si>
  <si>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</si>
  <si>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</si>
  <si>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</si>
  <si>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</si>
  <si>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</si>
  <si>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</si>
  <si>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</si>
  <si>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</si>
  <si>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</si>
  <si>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</si>
  <si>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</si>
  <si>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</si>
  <si>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</si>
  <si>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</si>
  <si>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</si>
  <si>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</si>
  <si>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</si>
  <si>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</si>
  <si>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</si>
  <si>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</si>
  <si>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</si>
  <si>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</si>
  <si>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</si>
  <si>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</si>
  <si>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</si>
  <si>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</si>
  <si>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</si>
  <si>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</si>
  <si>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</si>
  <si>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</si>
  <si>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</si>
  <si>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</si>
  <si>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</si>
  <si>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</si>
  <si>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</si>
  <si>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</si>
  <si>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</si>
  <si>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</si>
  <si>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</si>
  <si>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</si>
  <si>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</si>
  <si>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</si>
  <si>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</si>
  <si>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</si>
  <si>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</si>
  <si>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</si>
  <si>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</si>
  <si>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</si>
  <si>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</si>
  <si>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</si>
  <si>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</si>
  <si>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</si>
  <si>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</si>
  <si>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</si>
  <si>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</si>
  <si>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</si>
  <si>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</si>
  <si>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</si>
  <si>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</si>
  <si>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</si>
  <si>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</si>
  <si>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</si>
  <si>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</si>
  <si>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</si>
  <si>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</si>
  <si>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</si>
  <si>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</si>
  <si>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</si>
  <si>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</si>
  <si>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</si>
  <si>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</si>
  <si>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</si>
  <si>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</si>
  <si>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</si>
  <si>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</si>
  <si>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</si>
  <si>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</si>
  <si>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</si>
  <si>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</si>
  <si>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</si>
  <si>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</si>
  <si>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</si>
  <si>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</si>
  <si>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</si>
  <si>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</si>
  <si>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</si>
  <si>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</si>
  <si>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</si>
  <si>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</si>
  <si>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</si>
  <si>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</si>
  <si>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</si>
  <si>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</si>
  <si>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</si>
  <si>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</si>
  <si>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</si>
  <si>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</si>
  <si>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</si>
  <si>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</si>
  <si>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</si>
  <si>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</si>
  <si>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</si>
  <si>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</si>
  <si>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</si>
  <si>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</si>
  <si>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</si>
  <si>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</si>
  <si>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</si>
  <si>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</si>
  <si>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</si>
  <si>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</si>
  <si>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</si>
  <si>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</si>
  <si>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</si>
  <si>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</si>
  <si>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</si>
  <si>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</si>
  <si>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</si>
  <si>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</si>
  <si>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</si>
  <si>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</si>
  <si>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</si>
  <si>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</si>
  <si>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</si>
  <si>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</si>
  <si>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</si>
  <si>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</si>
  <si>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</si>
  <si>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</si>
  <si>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</si>
  <si>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</si>
  <si>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</si>
  <si>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</si>
  <si>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</si>
  <si>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</si>
  <si>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</si>
  <si>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</si>
  <si>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</si>
  <si>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</si>
  <si>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</si>
  <si>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</si>
  <si>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</si>
  <si>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</si>
  <si>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</si>
  <si>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</si>
  <si>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</si>
  <si>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</si>
  <si>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</si>
  <si>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</si>
  <si>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</si>
  <si>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</si>
  <si>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</si>
  <si>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</si>
  <si>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</si>
  <si>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</si>
  <si>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</si>
  <si>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</si>
  <si>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</si>
  <si>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</si>
  <si>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</si>
  <si>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</si>
  <si>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</si>
  <si>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</si>
  <si>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</si>
  <si>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</si>
  <si>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</si>
  <si>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</si>
  <si>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</si>
  <si>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</si>
  <si>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</si>
  <si>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</si>
  <si>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</si>
  <si>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</si>
  <si>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</si>
  <si>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</si>
  <si>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</si>
  <si>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</si>
  <si>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</si>
  <si>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</si>
  <si>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</si>
  <si>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</si>
  <si>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</si>
  <si>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</si>
  <si>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</si>
  <si>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</si>
  <si>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</si>
  <si>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</si>
  <si>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</si>
  <si>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</si>
  <si>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</si>
  <si>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</si>
  <si>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</si>
  <si>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</si>
  <si>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</si>
  <si>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</si>
  <si>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</si>
  <si>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</si>
  <si>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</si>
  <si>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</si>
  <si>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</si>
  <si>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</si>
  <si>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</si>
  <si>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</si>
  <si>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</si>
  <si>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</si>
  <si>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</si>
  <si>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</si>
  <si>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</si>
  <si>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</si>
  <si>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</si>
  <si>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</si>
  <si>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</si>
  <si>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</si>
  <si>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</si>
  <si>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</si>
  <si>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</si>
  <si>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</si>
  <si>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</si>
  <si>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</si>
  <si>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</si>
  <si>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</si>
  <si>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</si>
  <si>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</si>
  <si>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</si>
  <si>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</si>
  <si>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</si>
  <si>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</si>
  <si>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</si>
  <si>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</si>
  <si>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</si>
  <si>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</si>
  <si>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</si>
  <si>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</si>
  <si>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</si>
  <si>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</si>
  <si>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</si>
  <si>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</si>
  <si>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</si>
  <si>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</si>
  <si>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</si>
  <si>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</si>
  <si>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</si>
  <si>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</si>
  <si>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</si>
  <si>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</si>
  <si>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</si>
  <si>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</si>
  <si>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</si>
  <si>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</si>
  <si>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</si>
  <si>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</si>
  <si>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</si>
  <si>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</si>
  <si>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</si>
  <si>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</si>
  <si>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</si>
  <si>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</si>
  <si>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</si>
  <si>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</si>
  <si>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</si>
  <si>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</si>
  <si>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</si>
  <si>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</si>
  <si>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</si>
  <si>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</si>
  <si>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</si>
  <si>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</si>
  <si>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</si>
  <si>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</si>
  <si>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</si>
  <si>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</si>
  <si>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</si>
  <si>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</si>
  <si>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</si>
  <si>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</si>
  <si>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</si>
  <si>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</si>
  <si>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</si>
  <si>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</si>
  <si>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</si>
  <si>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</si>
  <si>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</si>
  <si>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</si>
  <si>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</si>
  <si>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</si>
  <si>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</si>
  <si>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</si>
  <si>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</si>
  <si>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</si>
  <si>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</si>
  <si>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</si>
  <si>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</si>
  <si>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</si>
  <si>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</si>
  <si>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</si>
  <si>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</si>
  <si>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</si>
  <si>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</si>
  <si>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</si>
  <si>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</si>
  <si>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</si>
  <si>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</si>
  <si>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</si>
  <si>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</si>
  <si>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</si>
  <si>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</si>
  <si>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</si>
  <si>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</si>
  <si>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</si>
  <si>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</si>
  <si>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</si>
  <si>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</si>
  <si>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</si>
  <si>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</si>
  <si>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</si>
  <si>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</si>
  <si>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</si>
  <si>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</si>
  <si>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</si>
  <si>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</si>
  <si>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</si>
  <si>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</si>
  <si>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</si>
  <si>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</si>
  <si>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</si>
  <si>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</si>
  <si>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</si>
  <si>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</si>
  <si>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</si>
  <si>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</si>
  <si>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</si>
  <si>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</si>
  <si>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</si>
  <si>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</si>
  <si>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</si>
  <si>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</si>
  <si>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</si>
  <si>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</si>
  <si>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</si>
  <si>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</si>
  <si>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</si>
  <si>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</si>
  <si>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</si>
  <si>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</si>
  <si>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</si>
  <si>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</si>
  <si>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</si>
  <si>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</si>
  <si>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</si>
  <si>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</si>
  <si>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</si>
  <si>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</si>
  <si>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</si>
  <si>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</si>
  <si>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</si>
  <si>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</si>
  <si>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</si>
  <si>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</si>
  <si>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</si>
  <si>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</si>
  <si>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</si>
  <si>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</si>
  <si>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</si>
  <si>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</si>
  <si>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</si>
  <si>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</si>
  <si>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</si>
  <si>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</si>
  <si>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</si>
  <si>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</si>
  <si>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</si>
  <si>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</si>
  <si>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</si>
  <si>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</si>
  <si>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</si>
  <si>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</si>
  <si>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</si>
  <si>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</si>
  <si>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</si>
  <si>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</si>
  <si>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</si>
  <si>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</si>
  <si>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</si>
  <si>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</si>
  <si>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</si>
  <si>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</si>
  <si>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</si>
  <si>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</si>
  <si>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</si>
  <si>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</si>
  <si>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</si>
  <si>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</si>
  <si>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</si>
  <si>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</si>
  <si>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</si>
  <si>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</si>
  <si>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</si>
  <si>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</si>
  <si>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</si>
  <si>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</si>
  <si>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</si>
  <si>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</si>
  <si>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</si>
  <si>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</si>
  <si>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</si>
  <si>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</si>
  <si>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</si>
  <si>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</si>
  <si>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</si>
  <si>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</si>
  <si>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</si>
  <si>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</si>
  <si>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</si>
  <si>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</si>
  <si>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</si>
  <si>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</si>
  <si>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</si>
  <si>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</si>
  <si>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</si>
  <si>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</si>
  <si>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</si>
  <si>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</si>
  <si>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</si>
  <si>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</si>
  <si>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</si>
  <si>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</si>
  <si>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</si>
  <si>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</si>
  <si>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</si>
  <si>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</si>
  <si>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</si>
  <si>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</si>
  <si>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</si>
  <si>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</si>
  <si>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</si>
  <si>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</si>
  <si>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</si>
  <si>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</si>
  <si>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</si>
  <si>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</si>
  <si>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</si>
  <si>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</si>
  <si>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</si>
  <si>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</si>
  <si>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</si>
  <si>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</si>
  <si>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</si>
  <si>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</si>
  <si>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</si>
  <si>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</si>
  <si>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</si>
  <si>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</si>
  <si>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</si>
  <si>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</si>
  <si>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</si>
  <si>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</si>
  <si>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</si>
  <si>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</si>
  <si>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</si>
  <si>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</si>
  <si>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</si>
  <si>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</si>
  <si>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</si>
  <si>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</si>
  <si>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</si>
  <si>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</si>
  <si>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</si>
  <si>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</si>
  <si>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</si>
  <si>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</si>
  <si>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</si>
  <si>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</si>
  <si>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</si>
  <si>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</si>
  <si>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</si>
  <si>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</si>
  <si>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</si>
  <si>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</si>
  <si>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</si>
  <si>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</si>
  <si>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</si>
  <si>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</si>
  <si>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</si>
  <si>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</si>
  <si>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</si>
  <si>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</si>
  <si>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</si>
  <si>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</si>
  <si>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</si>
  <si>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</si>
  <si>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</si>
  <si>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</si>
  <si>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</si>
  <si>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</si>
  <si>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</si>
  <si>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</si>
  <si>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</si>
  <si>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</si>
  <si>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</si>
  <si>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</si>
  <si>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</si>
  <si>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</si>
  <si>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</si>
  <si>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</si>
  <si>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</si>
  <si>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</si>
  <si>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</si>
  <si>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</si>
  <si>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</si>
  <si>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</si>
  <si>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</si>
  <si>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</si>
  <si>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</si>
  <si>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</si>
  <si>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</si>
  <si>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</si>
  <si>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</si>
  <si>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</si>
  <si>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</si>
  <si>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</si>
  <si>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</si>
  <si>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</si>
  <si>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</si>
  <si>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</si>
  <si>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</si>
  <si>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</si>
  <si>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</si>
  <si>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</si>
  <si>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</si>
  <si>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</si>
  <si>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</si>
  <si>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</si>
  <si>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</si>
  <si>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</si>
  <si>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</si>
  <si>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</si>
  <si>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</si>
  <si>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</si>
  <si>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</si>
  <si>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</si>
  <si>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</si>
  <si>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</si>
  <si>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</si>
  <si>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</si>
  <si>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</si>
  <si>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</si>
  <si>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</si>
  <si>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</si>
  <si>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</si>
  <si>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</si>
  <si>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</si>
  <si>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</si>
  <si>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</si>
  <si>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</si>
  <si>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</si>
  <si>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</si>
  <si>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</si>
  <si>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</si>
  <si>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</si>
  <si>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</si>
  <si>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</si>
  <si>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</si>
  <si>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</si>
  <si>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</si>
  <si>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</si>
  <si>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</si>
  <si>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</si>
  <si>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</si>
  <si>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</si>
  <si>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</si>
  <si>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</si>
  <si>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</si>
  <si>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</si>
  <si>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</si>
  <si>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</si>
  <si>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</si>
  <si>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</si>
  <si>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</si>
  <si>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</si>
  <si>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</si>
  <si>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</si>
  <si>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</si>
  <si>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</si>
  <si>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</si>
  <si>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</si>
  <si>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</si>
  <si>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</si>
  <si>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</si>
  <si>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</si>
  <si>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</si>
  <si>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</si>
  <si>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</si>
  <si>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</si>
  <si>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</si>
  <si>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</si>
  <si>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</si>
  <si>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</si>
  <si>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</si>
  <si>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</si>
  <si>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</si>
  <si>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</si>
  <si>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</si>
  <si>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</si>
  <si>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</si>
  <si>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</si>
  <si>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</si>
  <si>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</si>
  <si>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</si>
  <si>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</si>
  <si>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</si>
  <si>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</si>
  <si>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</si>
  <si>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</si>
  <si>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</si>
  <si>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</si>
  <si>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</si>
  <si>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</si>
  <si>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</si>
  <si>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</si>
  <si>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</si>
  <si>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</si>
  <si>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</si>
  <si>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</si>
  <si>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</si>
  <si>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</si>
  <si>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</si>
  <si>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</si>
  <si>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</si>
  <si>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</si>
  <si>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</si>
  <si>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</si>
  <si>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</si>
  <si>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</si>
  <si>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</si>
  <si>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</si>
  <si>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</si>
  <si>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</si>
  <si>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</si>
  <si>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</si>
  <si>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</si>
  <si>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</si>
  <si>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</si>
  <si>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</si>
  <si>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</si>
  <si>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</si>
  <si>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</si>
  <si>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</si>
  <si>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</si>
  <si>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</si>
  <si>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</si>
  <si>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</si>
  <si>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</si>
  <si>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</si>
  <si>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</si>
  <si>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</si>
  <si>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</si>
  <si>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</si>
  <si>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</si>
  <si>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</si>
  <si>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</si>
  <si>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</si>
  <si>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</si>
  <si>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</si>
  <si>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</si>
  <si>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</si>
  <si>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</si>
  <si>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</si>
  <si>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</si>
  <si>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</si>
  <si>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</si>
  <si>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</si>
  <si>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</si>
  <si>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</si>
  <si>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</si>
  <si>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</si>
  <si>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</si>
  <si>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</si>
  <si>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</si>
  <si>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</si>
  <si>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</si>
  <si>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</si>
  <si>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</si>
  <si>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</si>
  <si>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</si>
  <si>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</si>
  <si>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</si>
  <si>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</si>
  <si>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</si>
  <si>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</si>
  <si>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</si>
  <si>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</si>
  <si>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</si>
  <si>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</si>
  <si>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</si>
  <si>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</si>
  <si>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</si>
  <si>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</si>
  <si>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</si>
  <si>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</si>
  <si>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</si>
  <si>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</si>
  <si>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</si>
  <si>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</si>
  <si>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</si>
  <si>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</si>
  <si>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</si>
  <si>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</si>
  <si>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</si>
  <si>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</si>
  <si>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</si>
  <si>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</si>
  <si>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</si>
  <si>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</si>
  <si>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</si>
  <si>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</si>
  <si>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</si>
  <si>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</si>
  <si>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</si>
  <si>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</si>
  <si>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</si>
  <si>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</si>
  <si>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</si>
  <si>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</si>
  <si>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</si>
  <si>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</si>
  <si>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</si>
  <si>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</si>
  <si>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</si>
  <si>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</si>
  <si>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</si>
  <si>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</si>
  <si>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</si>
  <si>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</si>
  <si>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</si>
  <si>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</si>
  <si>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</si>
  <si>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</si>
  <si>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</si>
  <si>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</si>
  <si>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</si>
  <si>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</si>
  <si>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</si>
  <si>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</si>
  <si>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</si>
  <si>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</si>
  <si>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</si>
  <si>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</si>
  <si>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</si>
  <si>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</si>
  <si>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</si>
  <si>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</si>
  <si>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</si>
  <si>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</si>
  <si>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</si>
  <si>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</si>
  <si>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</si>
  <si>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</si>
  <si>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</si>
  <si>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</si>
  <si>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</si>
  <si>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</si>
  <si>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</si>
  <si>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</si>
  <si>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</si>
  <si>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</si>
  <si>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</si>
  <si>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</si>
  <si>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</si>
  <si>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</si>
  <si>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</si>
  <si>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</si>
  <si>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</si>
  <si>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</si>
  <si>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</si>
  <si>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</si>
  <si>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</si>
  <si>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</si>
  <si>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</si>
  <si>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</si>
  <si>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</si>
  <si>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</si>
  <si>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</si>
  <si>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</si>
  <si>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</si>
  <si>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</si>
  <si>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</si>
  <si>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</si>
  <si>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</si>
  <si>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</si>
  <si>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</si>
  <si>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</si>
  <si>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</si>
  <si>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</si>
  <si>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</si>
  <si>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</si>
  <si>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</si>
  <si>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</si>
  <si>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</si>
  <si>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</si>
  <si>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</si>
  <si>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</si>
  <si>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</si>
  <si>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</si>
  <si>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</si>
  <si>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</si>
  <si>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</si>
  <si>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</si>
  <si>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</si>
  <si>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</si>
  <si>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</si>
  <si>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</si>
  <si>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</si>
  <si>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</si>
  <si>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</si>
  <si>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</si>
  <si>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</si>
  <si>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</si>
  <si>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</si>
  <si>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</si>
  <si>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</si>
  <si>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</si>
  <si>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</si>
  <si>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</si>
  <si>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</si>
  <si>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</si>
  <si>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</si>
  <si>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</si>
  <si>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</si>
  <si>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</si>
  <si>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</si>
  <si>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</si>
  <si>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</si>
  <si>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</si>
  <si>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</si>
  <si>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</si>
  <si>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</si>
  <si>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</si>
  <si>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</si>
  <si>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</si>
  <si>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</si>
  <si>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</si>
  <si>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</si>
  <si>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</si>
  <si>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</si>
  <si>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</si>
  <si>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</si>
  <si>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</si>
  <si>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</si>
  <si>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</si>
  <si>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</si>
  <si>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</si>
  <si>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</si>
  <si>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</si>
  <si>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</si>
  <si>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</si>
  <si>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</si>
  <si>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</si>
  <si>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</si>
  <si>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</si>
  <si>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</si>
  <si>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</si>
  <si>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</si>
  <si>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</si>
  <si>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</si>
  <si>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</si>
  <si>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</si>
  <si>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</si>
  <si>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</si>
  <si>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</si>
  <si>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</si>
  <si>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</si>
  <si>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</si>
  <si>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</si>
  <si>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</si>
  <si>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</si>
  <si>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</si>
  <si>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</si>
  <si>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</si>
  <si>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</si>
  <si>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</si>
  <si>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</si>
  <si>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</si>
  <si>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</si>
  <si>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</si>
  <si>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</si>
  <si>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</si>
  <si>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</si>
  <si>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</si>
  <si>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</si>
  <si>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</si>
  <si>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</si>
  <si>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</si>
  <si>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</si>
  <si>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</si>
  <si>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</si>
  <si>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</si>
  <si>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</si>
  <si>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</si>
  <si>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</si>
  <si>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</si>
  <si>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</si>
  <si>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</si>
  <si>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</si>
  <si>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</si>
  <si>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</si>
  <si>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</si>
  <si>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</si>
  <si>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</si>
  <si>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</si>
  <si>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</si>
  <si>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</si>
  <si>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</si>
  <si>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</si>
  <si>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</si>
  <si>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</si>
  <si>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</si>
  <si>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</si>
  <si>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</si>
  <si>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</si>
  <si>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</si>
  <si>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</si>
  <si>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</si>
  <si>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</si>
  <si>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</si>
  <si>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</si>
  <si>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</si>
  <si>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</si>
  <si>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</si>
  <si>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</si>
  <si>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</si>
  <si>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</si>
  <si>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</si>
  <si>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</si>
  <si>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</si>
  <si>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</si>
  <si>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</si>
  <si>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</si>
  <si>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</si>
  <si>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</si>
  <si>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</si>
  <si>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</si>
  <si>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</si>
  <si>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</si>
  <si>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</si>
  <si>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</si>
  <si>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</si>
  <si>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</si>
  <si>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</si>
  <si>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</si>
  <si>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</si>
  <si>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</si>
  <si>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</si>
  <si>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</si>
  <si>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</si>
  <si>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</si>
  <si>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</si>
  <si>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</si>
  <si>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</si>
  <si>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</si>
  <si>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</si>
  <si>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</si>
  <si>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</si>
  <si>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</si>
  <si>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</si>
  <si>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</si>
  <si>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</si>
  <si>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</si>
  <si>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</si>
  <si>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</si>
  <si>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</si>
  <si>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</si>
  <si>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</si>
  <si>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</si>
  <si>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</si>
  <si>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</si>
  <si>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</si>
  <si>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</si>
  <si>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</si>
  <si>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</si>
  <si>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</si>
  <si>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</si>
  <si>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</si>
  <si>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</si>
  <si>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</si>
  <si>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</si>
  <si>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</si>
  <si>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</si>
  <si>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</si>
  <si>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</si>
  <si>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</si>
  <si>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</si>
  <si>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</si>
  <si>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</si>
  <si>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</si>
  <si>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</si>
  <si>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</si>
  <si>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</si>
  <si>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</si>
  <si>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</si>
  <si>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</si>
  <si>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</si>
  <si>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</si>
  <si>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</si>
  <si>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</si>
  <si>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</si>
  <si>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</si>
  <si>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</si>
  <si>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</si>
  <si>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</si>
  <si>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</si>
  <si>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</si>
  <si>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</si>
  <si>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</si>
  <si>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</si>
  <si>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</si>
  <si>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</si>
  <si>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</si>
  <si>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</si>
  <si>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</si>
  <si>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</si>
  <si>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</si>
  <si>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</si>
  <si>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</si>
  <si>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</si>
  <si>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</si>
  <si>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</si>
  <si>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</si>
  <si>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</si>
  <si>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</si>
  <si>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</si>
  <si>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</si>
  <si>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</si>
  <si>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</si>
  <si>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</si>
  <si>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</si>
  <si>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</si>
  <si>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</si>
  <si>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</si>
  <si>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</si>
  <si>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</si>
  <si>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</si>
  <si>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</si>
  <si>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</si>
  <si>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</si>
  <si>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</si>
  <si>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</si>
  <si>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</si>
  <si>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</si>
  <si>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</si>
  <si>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</si>
  <si>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</si>
  <si>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</si>
  <si>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</si>
  <si>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</si>
  <si>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</si>
  <si>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</si>
  <si>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</si>
  <si>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</si>
  <si>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</si>
  <si>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</si>
  <si>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</si>
  <si>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</si>
  <si>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</si>
  <si>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</si>
  <si>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</si>
  <si>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</si>
  <si>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</si>
  <si>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</si>
  <si>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</si>
  <si>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</si>
  <si>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</si>
  <si>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</si>
  <si>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</si>
  <si>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</si>
  <si>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</si>
  <si>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</si>
  <si>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</si>
  <si>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</si>
  <si>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</si>
  <si>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</si>
  <si>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</si>
  <si>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</si>
  <si>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</si>
  <si>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</si>
  <si>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</si>
  <si>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</si>
  <si>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</si>
  <si>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</si>
  <si>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</si>
  <si>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</si>
  <si>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</si>
  <si>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</si>
  <si>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</si>
  <si>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</si>
  <si>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</si>
  <si>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</si>
  <si>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</si>
  <si>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</si>
  <si>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</si>
  <si>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</si>
  <si>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</si>
  <si>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</si>
  <si>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</si>
  <si>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</si>
  <si>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</si>
  <si>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</si>
  <si>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</si>
  <si>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</si>
  <si>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</si>
  <si>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</si>
  <si>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</si>
  <si>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</si>
  <si>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</si>
  <si>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</si>
  <si>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</si>
  <si>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</si>
  <si>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</si>
  <si>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</si>
  <si>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</si>
  <si>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</si>
  <si>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</si>
  <si>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</si>
  <si>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</si>
  <si>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</si>
  <si>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</si>
  <si>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</si>
  <si>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</si>
  <si>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</si>
  <si>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</si>
  <si>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</si>
  <si>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</si>
  <si>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</si>
  <si>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</si>
  <si>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</si>
  <si>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</si>
  <si>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</si>
  <si>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</si>
  <si>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</si>
  <si>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</si>
  <si>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</si>
  <si>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</si>
  <si>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</si>
  <si>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</si>
  <si>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</si>
  <si>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</si>
  <si>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</si>
  <si>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</si>
  <si>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</si>
  <si>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</si>
  <si>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</si>
  <si>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</si>
  <si>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</si>
  <si>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</si>
  <si>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</si>
  <si>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</si>
  <si>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</si>
  <si>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</si>
  <si>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</si>
  <si>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</si>
  <si>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</si>
  <si>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</si>
  <si>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</si>
  <si>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</si>
  <si>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</si>
  <si>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</si>
  <si>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</si>
  <si>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</si>
  <si>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</si>
  <si>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</si>
  <si>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</si>
  <si>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</si>
  <si>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</si>
  <si>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</si>
  <si>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</si>
  <si>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</si>
  <si>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</si>
  <si>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</si>
  <si>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</si>
  <si>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</si>
  <si>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</si>
  <si>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</si>
  <si>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</si>
  <si>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</si>
  <si>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</si>
  <si>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</si>
  <si>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</si>
  <si>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</si>
  <si>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</si>
  <si>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</si>
  <si>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</si>
  <si>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</si>
  <si>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</si>
  <si>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</si>
  <si>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</si>
  <si>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</si>
  <si>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</si>
  <si>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</si>
  <si>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</si>
  <si>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</si>
  <si>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</si>
  <si>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</si>
  <si>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</si>
  <si>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</si>
  <si>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</si>
  <si>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</si>
  <si>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</si>
  <si>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</si>
  <si>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</si>
  <si>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</si>
  <si>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</si>
  <si>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</si>
  <si>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</si>
  <si>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</si>
  <si>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</si>
  <si>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</si>
  <si>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</si>
  <si>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</si>
  <si>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</si>
  <si>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</si>
  <si>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</si>
  <si>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</si>
  <si>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</si>
  <si>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</si>
  <si>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</si>
  <si>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</si>
  <si>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</si>
  <si>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</si>
  <si>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</si>
  <si>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</si>
  <si>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</si>
  <si>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</si>
  <si>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</si>
  <si>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</si>
  <si>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</si>
  <si>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</si>
  <si>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</si>
  <si>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</si>
  <si>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</si>
  <si>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</si>
  <si>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</si>
  <si>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</si>
  <si>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</si>
  <si>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</si>
  <si>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</si>
  <si>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</si>
  <si>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</si>
  <si>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</si>
  <si>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</si>
  <si>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</si>
  <si>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</si>
  <si>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</si>
  <si>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</si>
  <si>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</si>
  <si>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</si>
  <si>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</si>
  <si>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</si>
  <si>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</si>
  <si>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</si>
  <si>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</si>
  <si>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</si>
  <si>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</si>
  <si>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</si>
  <si>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</si>
  <si>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</si>
  <si>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</si>
  <si>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</si>
  <si>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</si>
  <si>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</si>
  <si>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</si>
  <si>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</si>
  <si>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</si>
  <si>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</si>
  <si>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</si>
  <si>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</si>
  <si>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</si>
  <si>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</si>
  <si>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</si>
  <si>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</si>
  <si>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</si>
  <si>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</si>
  <si>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</si>
  <si>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</si>
  <si>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</si>
  <si>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</si>
  <si>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</si>
  <si>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</si>
  <si>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</si>
  <si>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</si>
  <si>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</si>
  <si>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</si>
  <si>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</si>
  <si>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</si>
  <si>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</si>
  <si>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</si>
  <si>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</si>
  <si>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</si>
  <si>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</si>
  <si>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</si>
  <si>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</si>
  <si>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</si>
  <si>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</si>
  <si>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</si>
  <si>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</si>
  <si>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</si>
  <si>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</si>
  <si>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</si>
  <si>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</si>
  <si>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</si>
  <si>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</si>
  <si>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</si>
  <si>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</si>
  <si>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</si>
  <si>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</si>
  <si>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</si>
  <si>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</si>
  <si>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</si>
  <si>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</si>
  <si>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</si>
  <si>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</si>
  <si>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</si>
  <si>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</si>
  <si>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</si>
  <si>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</si>
  <si>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</si>
  <si>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</si>
  <si>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</si>
  <si>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</si>
  <si>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</si>
  <si>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</si>
  <si>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</si>
  <si>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</si>
  <si>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</si>
  <si>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</si>
  <si>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</si>
  <si>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</si>
  <si>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</si>
  <si>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</si>
  <si>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</si>
  <si>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</si>
  <si>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</si>
  <si>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</si>
  <si>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</si>
  <si>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</si>
  <si>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</si>
  <si>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</si>
  <si>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</si>
  <si>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</si>
  <si>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</si>
  <si>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</si>
  <si>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</si>
  <si>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</si>
  <si>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</si>
  <si>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</si>
  <si>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</si>
  <si>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</si>
  <si>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</si>
  <si>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</si>
  <si>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</si>
  <si>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</si>
  <si>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</si>
  <si>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</si>
  <si>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</si>
  <si>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</si>
  <si>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</si>
  <si>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</si>
  <si>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</si>
  <si>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</si>
  <si>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</si>
  <si>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</si>
  <si>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</si>
  <si>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</si>
  <si>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</si>
  <si>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</si>
  <si>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</si>
  <si>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</si>
  <si>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</si>
  <si>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</si>
  <si>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</si>
  <si>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</si>
  <si>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</si>
  <si>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</si>
  <si>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</si>
  <si>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</si>
  <si>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</si>
  <si>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</si>
  <si>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</si>
  <si>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</si>
  <si>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</si>
  <si>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</si>
  <si>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</si>
  <si>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</si>
  <si>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</si>
  <si>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</si>
  <si>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</si>
  <si>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</si>
  <si>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</si>
  <si>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</si>
  <si>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</si>
  <si>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</si>
  <si>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</si>
  <si>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</si>
  <si>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</si>
  <si>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</si>
  <si>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</si>
  <si>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</si>
  <si>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</si>
  <si>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</si>
  <si>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</si>
  <si>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</si>
  <si>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</si>
  <si>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</si>
  <si>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</si>
  <si>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</si>
  <si>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</si>
  <si>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</si>
  <si>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</si>
  <si>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</si>
  <si>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</si>
  <si>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</si>
  <si>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</si>
  <si>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</si>
  <si>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</si>
  <si>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</si>
  <si>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</si>
  <si>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</si>
  <si>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</si>
  <si>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</si>
  <si>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</si>
  <si>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</si>
  <si>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</si>
  <si>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</si>
  <si>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</si>
  <si>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</si>
  <si>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</si>
  <si>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</si>
  <si>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</si>
  <si>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</si>
  <si>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</si>
  <si>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</si>
  <si>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</si>
  <si>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</si>
  <si>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</si>
  <si>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</si>
  <si>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</si>
  <si>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</si>
  <si>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</si>
  <si>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</si>
  <si>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</si>
  <si>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</si>
  <si>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</si>
  <si>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</si>
  <si>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</si>
  <si>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</si>
  <si>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</si>
  <si>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</si>
  <si>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</si>
  <si>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</si>
  <si>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</si>
  <si>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</si>
  <si>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</si>
  <si>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</si>
  <si>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</si>
  <si>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</si>
  <si>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</si>
  <si>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</si>
  <si>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</si>
  <si>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</si>
  <si>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</si>
  <si>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</si>
  <si>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</si>
  <si>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</si>
  <si>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</si>
  <si>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</si>
  <si>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</si>
  <si>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</si>
  <si>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</si>
  <si>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</si>
  <si>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</si>
  <si>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</si>
  <si>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</si>
  <si>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</si>
  <si>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</si>
  <si>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</si>
  <si>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</si>
  <si>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</si>
  <si>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</si>
  <si>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</si>
  <si>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</si>
  <si>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</si>
  <si>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</si>
  <si>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</si>
  <si>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</si>
  <si>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</si>
  <si>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</si>
  <si>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</si>
  <si>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</si>
  <si>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</si>
  <si>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</si>
  <si>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</si>
  <si>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</si>
  <si>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</si>
  <si>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</si>
  <si>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</si>
  <si>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</si>
  <si>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</si>
  <si>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</si>
  <si>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</si>
  <si>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</si>
  <si>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</si>
  <si>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</si>
  <si>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</si>
  <si>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</si>
  <si>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</si>
  <si>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</si>
  <si>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</si>
  <si>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</si>
  <si>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</si>
  <si>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</si>
  <si>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</si>
  <si>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</si>
  <si>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</si>
  <si>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</si>
  <si>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</si>
  <si>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</si>
  <si>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</si>
  <si>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</si>
  <si>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</si>
  <si>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</si>
  <si>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</si>
  <si>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</si>
  <si>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</si>
  <si>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</si>
  <si>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</si>
  <si>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</si>
  <si>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</si>
  <si>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</si>
  <si>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</si>
  <si>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</si>
  <si>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</si>
  <si>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</si>
  <si>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</si>
  <si>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</si>
  <si>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</si>
  <si>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</si>
  <si>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</si>
  <si>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</si>
  <si>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</si>
  <si>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</si>
  <si>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</si>
  <si>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</si>
  <si>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</si>
  <si>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</si>
  <si>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</si>
  <si>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</si>
  <si>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</si>
  <si>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</si>
  <si>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</si>
  <si>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</si>
  <si>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</si>
  <si>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</si>
  <si>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</si>
  <si>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</si>
  <si>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</si>
  <si>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</si>
  <si>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</si>
  <si>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</si>
  <si>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</si>
  <si>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</si>
  <si>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</si>
  <si>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</si>
  <si>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</si>
  <si>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</si>
  <si>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</si>
  <si>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</si>
  <si>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</si>
  <si>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</si>
  <si>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</si>
  <si>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</si>
  <si>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</si>
  <si>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</si>
  <si>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</si>
  <si>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</si>
  <si>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</si>
  <si>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</si>
  <si>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</si>
  <si>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</si>
  <si>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</si>
  <si>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</si>
  <si>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</si>
  <si>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</si>
  <si>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</si>
  <si>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</si>
  <si>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</si>
  <si>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</si>
  <si>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</si>
  <si>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</si>
  <si>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</si>
  <si>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</si>
  <si>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</si>
  <si>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</si>
  <si>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</si>
  <si>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</si>
  <si>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</si>
  <si>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</si>
  <si>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</si>
  <si>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</si>
  <si>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</si>
  <si>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</si>
  <si>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</si>
  <si>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</si>
  <si>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</si>
  <si>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</si>
  <si>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</si>
  <si>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</si>
  <si>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</si>
  <si>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</si>
  <si>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</si>
  <si>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</si>
  <si>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</si>
  <si>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</si>
  <si>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</si>
  <si>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</si>
  <si>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</si>
  <si>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</si>
  <si>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</si>
  <si>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</si>
  <si>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</si>
  <si>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</si>
  <si>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</si>
  <si>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</si>
  <si>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</si>
  <si>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</si>
  <si>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</si>
  <si>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</si>
  <si>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</si>
  <si>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</si>
  <si>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</si>
  <si>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</si>
  <si>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</si>
  <si>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</si>
  <si>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</si>
  <si>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</si>
  <si>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</si>
  <si>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</si>
  <si>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</si>
  <si>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</si>
  <si>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</si>
  <si>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</si>
  <si>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</si>
  <si>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</si>
  <si>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</si>
  <si>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</si>
  <si>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</si>
  <si>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</si>
  <si>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</si>
  <si>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</si>
  <si>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</si>
  <si>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</si>
  <si>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</si>
  <si>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</si>
  <si>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</si>
  <si>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</si>
  <si>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</si>
  <si>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</si>
  <si>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</si>
  <si>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</si>
  <si>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</si>
  <si>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</si>
  <si>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</si>
  <si>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</si>
  <si>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</si>
  <si>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</si>
  <si>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</si>
  <si>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</si>
  <si>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</si>
  <si>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</si>
  <si>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</si>
  <si>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</si>
  <si>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</si>
  <si>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</si>
  <si>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</si>
  <si>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</si>
  <si>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</si>
  <si>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</si>
  <si>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</si>
  <si>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</si>
  <si>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</si>
  <si>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</si>
  <si>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</si>
  <si>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</si>
  <si>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</si>
  <si>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</si>
  <si>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</si>
  <si>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</si>
  <si>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</si>
  <si>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</si>
  <si>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</si>
  <si>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</si>
  <si>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</si>
  <si>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</si>
  <si>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</si>
  <si>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</si>
  <si>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</si>
  <si>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</si>
  <si>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</si>
  <si>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</si>
  <si>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</si>
  <si>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</si>
  <si>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</si>
  <si>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</si>
  <si>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</si>
  <si>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</si>
  <si>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</si>
  <si>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</si>
  <si>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</si>
  <si>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</si>
  <si>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</si>
  <si>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</si>
  <si>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</si>
  <si>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</si>
  <si>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</si>
  <si>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</si>
  <si>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</si>
  <si>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</si>
  <si>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</si>
  <si>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</si>
  <si>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</si>
  <si>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</si>
  <si>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</si>
  <si>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</si>
  <si>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</si>
  <si>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</si>
  <si>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</si>
  <si>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</si>
  <si>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</si>
  <si>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</si>
  <si>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</si>
  <si>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</si>
  <si>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</si>
  <si>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</si>
  <si>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</si>
  <si>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</si>
  <si>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</si>
  <si>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</si>
  <si>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</si>
  <si>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</si>
  <si>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</si>
  <si>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</si>
  <si>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</si>
  <si>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</si>
  <si>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</si>
  <si>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</si>
  <si>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</si>
  <si>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</si>
  <si>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</si>
  <si>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</si>
  <si>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</si>
  <si>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</si>
  <si>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</si>
  <si>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</si>
  <si>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</si>
  <si>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</si>
  <si>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</si>
  <si>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</si>
  <si>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</si>
  <si>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</si>
  <si>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</si>
  <si>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</si>
  <si>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</si>
  <si>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</si>
  <si>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</si>
  <si>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</si>
  <si>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</si>
  <si>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</si>
  <si>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</si>
  <si>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</si>
  <si>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</si>
  <si>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</si>
  <si>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</si>
  <si>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</si>
  <si>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</si>
  <si>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</si>
  <si>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</si>
  <si>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</si>
  <si>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</si>
  <si>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</si>
  <si>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</si>
  <si>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</si>
  <si>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</si>
  <si>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</si>
  <si>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</si>
  <si>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</si>
  <si>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</si>
  <si>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</si>
  <si>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</si>
  <si>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</si>
  <si>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</si>
  <si>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</si>
  <si>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</si>
  <si>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</si>
  <si>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</si>
  <si>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</si>
  <si>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</si>
  <si>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</si>
  <si>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</si>
  <si>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</si>
  <si>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</si>
  <si>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</si>
  <si>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</si>
  <si>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</si>
  <si>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</si>
  <si>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</si>
  <si>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</si>
  <si>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</si>
  <si>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</si>
  <si>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</si>
  <si>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</si>
  <si>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</si>
  <si>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</si>
  <si>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</si>
  <si>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</si>
  <si>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</si>
  <si>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</si>
  <si>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</si>
  <si>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</si>
  <si>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</si>
  <si>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</si>
  <si>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</si>
  <si>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</si>
  <si>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</si>
  <si>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</si>
  <si>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</si>
  <si>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</si>
  <si>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</si>
  <si>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</si>
  <si>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</si>
  <si>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</si>
  <si>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</si>
  <si>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</si>
  <si>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</si>
  <si>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</si>
  <si>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</si>
  <si>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</si>
  <si>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</si>
  <si>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</si>
  <si>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</si>
  <si>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</si>
  <si>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</si>
  <si>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</si>
  <si>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</si>
  <si>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</si>
  <si>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</si>
  <si>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</si>
  <si>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</si>
  <si>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</si>
  <si>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</si>
  <si>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</si>
  <si>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</si>
  <si>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</si>
  <si>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</si>
  <si>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</si>
  <si>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</si>
  <si>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</si>
  <si>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</si>
  <si>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</si>
  <si>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</si>
  <si>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</si>
  <si>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</si>
  <si>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</si>
  <si>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</si>
  <si>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</si>
  <si>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</si>
  <si>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</si>
  <si>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</si>
  <si>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</si>
  <si>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</si>
  <si>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</si>
  <si>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</si>
  <si>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</si>
  <si>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</si>
  <si>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</si>
  <si>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</si>
  <si>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</si>
  <si>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</si>
  <si>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</si>
  <si>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</si>
  <si>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</si>
  <si>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</si>
  <si>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</si>
  <si>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</si>
  <si>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</si>
  <si>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</si>
  <si>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</si>
  <si>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</si>
  <si>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</si>
  <si>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</si>
  <si>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</si>
  <si>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</si>
  <si>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</si>
  <si>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</si>
  <si>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</si>
  <si>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</si>
  <si>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</si>
  <si>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</si>
  <si>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</si>
  <si>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</si>
  <si>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</si>
  <si>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</si>
  <si>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</si>
  <si>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</si>
  <si>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</si>
  <si>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</si>
  <si>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</si>
  <si>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</si>
  <si>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</si>
  <si>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</si>
  <si>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</si>
  <si>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</si>
  <si>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</si>
  <si>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</si>
  <si>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</si>
  <si>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</si>
  <si>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</si>
  <si>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</si>
  <si>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</si>
  <si>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</si>
  <si>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</si>
  <si>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</si>
  <si>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</si>
  <si>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</si>
  <si>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</si>
  <si>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</si>
  <si>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</si>
  <si>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</si>
  <si>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</si>
  <si>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</si>
  <si>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</si>
  <si>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</si>
  <si>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</si>
  <si>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</si>
  <si>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</si>
  <si>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</si>
  <si>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</si>
  <si>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</si>
  <si>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</si>
  <si>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</si>
  <si>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</si>
  <si>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</si>
  <si>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</si>
  <si>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</si>
  <si>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</si>
  <si>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</si>
  <si>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</si>
  <si>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</si>
  <si>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</si>
  <si>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</si>
  <si>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</si>
  <si>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</si>
  <si>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</si>
  <si>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</si>
  <si>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</si>
  <si>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</si>
  <si>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</si>
  <si>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</si>
  <si>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</si>
  <si>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</si>
  <si>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</si>
  <si>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MV-Electronics Inc</t>
  </si>
  <si>
    <t>Crystals, XOs (Clock Oscillators), VCXOs (Voltage Controlled Clock Oscillators), TCXO (Temperature Compensated Crystal Oscillators), OCXO (Oven Controlled Crystal Oscillators)</t>
  </si>
  <si>
    <t>114759888</t>
  </si>
  <si>
    <t>DUNS</t>
  </si>
  <si>
    <t>4900 Carlisle Pike, #343, Mechanicsburg, PA 17050, USA</t>
  </si>
  <si>
    <t>Shiraz Vakharia</t>
  </si>
  <si>
    <t>ShirazVakharia@MV-Electronics.com</t>
  </si>
  <si>
    <t>+1(717) 691-1582</t>
  </si>
  <si>
    <t>President</t>
  </si>
  <si>
    <t>We receive guarantee letters from our suppliers confirming no use of restricted materials.</t>
  </si>
  <si>
    <t>Ōita</t>
  </si>
  <si>
    <t>Hiratsuka</t>
  </si>
  <si>
    <t>Saijo</t>
  </si>
  <si>
    <t>CID000875</t>
  </si>
  <si>
    <t>Ganzhou Huaxing Tungsten Products Co., Ltd.</t>
  </si>
  <si>
    <t>CID001105</t>
  </si>
  <si>
    <t>Malaysia Smelting Corporation (MSC)</t>
  </si>
  <si>
    <t>Butterworth</t>
  </si>
  <si>
    <t>Kobe</t>
  </si>
  <si>
    <t>Iruma</t>
  </si>
  <si>
    <t>Naoshima</t>
  </si>
  <si>
    <t>Kuki</t>
  </si>
  <si>
    <t>Global Tungsten &amp; Powders Corp.</t>
  </si>
  <si>
    <t>CID001889</t>
  </si>
  <si>
    <t>Tejing (Vietnam) Tungsten Co., Ltd.</t>
  </si>
  <si>
    <t>Halong City</t>
  </si>
  <si>
    <t>MV-C</t>
  </si>
  <si>
    <t>Crystals</t>
  </si>
  <si>
    <t>MV-X</t>
  </si>
  <si>
    <t>XO</t>
  </si>
  <si>
    <t>MV-V</t>
  </si>
  <si>
    <t>VCXO</t>
  </si>
  <si>
    <t>MV-T</t>
  </si>
  <si>
    <t>TCXO</t>
  </si>
  <si>
    <t>MV-O</t>
  </si>
  <si>
    <t>OCXO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</si>
</sst>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2397668</xdr:colOff>
      <xdr:row>2</xdr:row>
      <xdr:rowOff>1368603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1820643</xdr:colOff>
      <xdr:row>2</xdr:row>
      <xdr:rowOff>971211</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426085</xdr:colOff>
      <xdr:row>3</xdr:row>
      <xdr:rowOff>107043</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60" sqref="B60"/>
    </sheetView>
  </sheetViews>
  <sheetFormatPr defaultColWidth="9" defaultRowHeight="13.5"/>
  <cols>
    <col min="1" max="1" width="0.84375" customWidth="1"/>
    <col min="2" max="2" width="8" customWidth="1"/>
    <col min="3" max="3" width="8.61328125" customWidth="1"/>
    <col min="4" max="4" width="13" style="164" customWidth="1"/>
    <col min="5" max="5" width="42.3828125" customWidth="1"/>
    <col min="6" max="6" width="53.3828125" customWidth="1"/>
    <col min="7" max="7" width="0.84375" customWidth="1"/>
  </cols>
  <sheetData>
    <row r="1" spans="1:7" ht="14" thickTop="1">
      <c r="A1" s="6"/>
      <c r="B1" s="7"/>
      <c r="C1" s="7"/>
      <c r="D1" s="158"/>
      <c r="E1" s="7"/>
      <c r="F1" s="7"/>
      <c r="G1" s="8"/>
    </row>
    <row r="2" spans="1:7">
      <c r="A2" s="373"/>
      <c r="B2" s="4" t="s">
        <v>807</v>
      </c>
      <c r="C2" s="2"/>
      <c r="D2" s="159"/>
      <c r="E2" s="2"/>
      <c r="F2" s="2"/>
      <c r="G2" s="24"/>
    </row>
    <row r="3" spans="1:7">
      <c r="A3" s="373"/>
      <c r="B3" s="2" t="s">
        <v>800</v>
      </c>
      <c r="C3" s="4"/>
      <c r="D3" s="160"/>
      <c r="E3" s="2"/>
      <c r="F3" s="4"/>
      <c r="G3" s="24"/>
    </row>
    <row r="4" spans="1:7" ht="15">
      <c r="A4" s="373"/>
      <c r="B4" s="27" t="s">
        <v>809</v>
      </c>
      <c r="C4" s="5"/>
      <c r="D4" s="161"/>
      <c r="E4" s="2"/>
      <c r="F4" s="5"/>
      <c r="G4" s="24"/>
    </row>
    <row r="5" spans="1:7">
      <c r="A5" s="373"/>
      <c r="B5" s="26" t="s">
        <v>998</v>
      </c>
      <c r="C5" s="3"/>
      <c r="D5" s="162"/>
      <c r="E5" s="2"/>
      <c r="F5" s="3"/>
      <c r="G5" s="24"/>
    </row>
    <row r="6" spans="1:7">
      <c r="A6" s="373"/>
      <c r="B6" s="2"/>
      <c r="C6" s="2"/>
      <c r="D6" s="159"/>
      <c r="E6" s="2"/>
      <c r="F6" s="2"/>
      <c r="G6" s="24"/>
    </row>
    <row r="7" spans="1:7">
      <c r="A7" s="373"/>
      <c r="B7" s="2"/>
      <c r="C7" s="2"/>
      <c r="D7" s="159"/>
      <c r="E7" s="2"/>
      <c r="F7" s="2"/>
      <c r="G7" s="24"/>
    </row>
    <row r="8" spans="1:7">
      <c r="A8" s="373"/>
      <c r="B8" s="2"/>
      <c r="C8" s="2"/>
      <c r="D8" s="159"/>
      <c r="E8" s="2"/>
      <c r="F8" s="2"/>
      <c r="G8" s="24"/>
    </row>
    <row r="9" spans="1:7">
      <c r="A9" s="373"/>
      <c r="B9" s="376" t="s">
        <v>810</v>
      </c>
      <c r="C9" s="376"/>
      <c r="D9" s="376"/>
      <c r="E9" s="376"/>
      <c r="F9" s="376"/>
      <c r="G9" s="24"/>
    </row>
    <row r="10" spans="1:7" ht="27" customHeight="1">
      <c r="A10" s="373"/>
      <c r="B10" s="377" t="s">
        <v>423</v>
      </c>
      <c r="C10" s="377"/>
      <c r="D10" s="377"/>
      <c r="E10" s="377"/>
      <c r="F10" s="377"/>
      <c r="G10" s="24"/>
    </row>
    <row r="11" spans="1:7" ht="27" customHeight="1">
      <c r="A11" s="373"/>
      <c r="B11" s="378"/>
      <c r="C11" s="378"/>
      <c r="D11" s="378"/>
      <c r="E11" s="378"/>
      <c r="F11" s="378"/>
      <c r="G11" s="24"/>
    </row>
    <row r="12" spans="1:7">
      <c r="A12" s="373"/>
      <c r="B12" s="28" t="s">
        <v>808</v>
      </c>
      <c r="C12" s="29" t="s">
        <v>811</v>
      </c>
      <c r="D12" s="163" t="s">
        <v>812</v>
      </c>
      <c r="E12" s="29" t="s">
        <v>593</v>
      </c>
      <c r="F12" s="29" t="s">
        <v>594</v>
      </c>
      <c r="G12" s="24"/>
    </row>
    <row r="13" spans="1:7" ht="34.5">
      <c r="A13" s="373"/>
      <c r="B13" s="275">
        <v>1</v>
      </c>
      <c r="C13" s="276" t="s">
        <v>1046</v>
      </c>
      <c r="D13" s="277" t="s">
        <v>836</v>
      </c>
      <c r="E13" s="278" t="s">
        <v>813</v>
      </c>
      <c r="F13" s="278"/>
      <c r="G13" s="24"/>
    </row>
    <row r="14" spans="1:7" ht="46">
      <c r="A14" s="373"/>
      <c r="B14" s="275">
        <v>2</v>
      </c>
      <c r="C14" s="276" t="s">
        <v>1046</v>
      </c>
      <c r="D14" s="277" t="s">
        <v>983</v>
      </c>
      <c r="E14" s="278" t="s">
        <v>513</v>
      </c>
      <c r="F14" s="278" t="s">
        <v>514</v>
      </c>
      <c r="G14" s="24"/>
    </row>
    <row r="15" spans="1:7" ht="89.15" customHeight="1">
      <c r="A15" s="373"/>
      <c r="B15" s="358">
        <v>2.0099999999999998</v>
      </c>
      <c r="C15" s="370" t="s">
        <v>1046</v>
      </c>
      <c r="D15" s="379" t="s">
        <v>2150</v>
      </c>
      <c r="E15" s="279" t="s">
        <v>595</v>
      </c>
      <c r="F15" s="279" t="s">
        <v>598</v>
      </c>
      <c r="G15" s="24"/>
    </row>
    <row r="16" spans="1:7" ht="99" customHeight="1">
      <c r="A16" s="373"/>
      <c r="B16" s="359"/>
      <c r="C16" s="371"/>
      <c r="D16" s="380"/>
      <c r="E16" s="280"/>
      <c r="F16" s="280" t="s">
        <v>596</v>
      </c>
      <c r="G16" s="24"/>
    </row>
    <row r="17" spans="1:7" ht="63" customHeight="1">
      <c r="A17" s="373"/>
      <c r="B17" s="360"/>
      <c r="C17" s="372"/>
      <c r="D17" s="381"/>
      <c r="E17" s="276"/>
      <c r="F17" s="276" t="s">
        <v>597</v>
      </c>
      <c r="G17" s="24"/>
    </row>
    <row r="18" spans="1:7" ht="117" customHeight="1">
      <c r="A18" s="373"/>
      <c r="B18" s="358">
        <v>2.02</v>
      </c>
      <c r="C18" s="370" t="s">
        <v>1046</v>
      </c>
      <c r="D18" s="379" t="s">
        <v>2151</v>
      </c>
      <c r="E18" s="279" t="s">
        <v>424</v>
      </c>
      <c r="F18" s="279" t="s">
        <v>508</v>
      </c>
      <c r="G18" s="24"/>
    </row>
    <row r="19" spans="1:7" ht="71.150000000000006" customHeight="1">
      <c r="A19" s="373"/>
      <c r="B19" s="359"/>
      <c r="C19" s="371"/>
      <c r="D19" s="380"/>
      <c r="E19" s="280" t="s">
        <v>512</v>
      </c>
      <c r="F19" s="280" t="s">
        <v>425</v>
      </c>
      <c r="G19" s="24"/>
    </row>
    <row r="20" spans="1:7" ht="90.75" customHeight="1">
      <c r="A20" s="373"/>
      <c r="B20" s="359"/>
      <c r="C20" s="371"/>
      <c r="D20" s="380"/>
      <c r="E20" s="280"/>
      <c r="F20" s="280" t="s">
        <v>600</v>
      </c>
      <c r="G20" s="24"/>
    </row>
    <row r="21" spans="1:7" ht="74.25" customHeight="1">
      <c r="A21" s="373"/>
      <c r="B21" s="360"/>
      <c r="C21" s="372"/>
      <c r="D21" s="381"/>
      <c r="E21" s="276"/>
      <c r="F21" s="276" t="s">
        <v>599</v>
      </c>
      <c r="G21" s="24"/>
    </row>
    <row r="22" spans="1:7" ht="90" customHeight="1">
      <c r="A22" s="373"/>
      <c r="B22" s="364">
        <v>2.0299999999999998</v>
      </c>
      <c r="C22" s="364" t="s">
        <v>783</v>
      </c>
      <c r="D22" s="367" t="s">
        <v>2152</v>
      </c>
      <c r="E22" s="370" t="s">
        <v>422</v>
      </c>
      <c r="F22" s="279" t="s">
        <v>445</v>
      </c>
      <c r="G22" s="24"/>
    </row>
    <row r="23" spans="1:7" ht="109.5" customHeight="1">
      <c r="A23" s="373"/>
      <c r="B23" s="365"/>
      <c r="C23" s="365"/>
      <c r="D23" s="368"/>
      <c r="E23" s="371"/>
      <c r="F23" s="280" t="s">
        <v>784</v>
      </c>
      <c r="G23" s="24"/>
    </row>
    <row r="24" spans="1:7" ht="74.25" customHeight="1">
      <c r="A24" s="373"/>
      <c r="B24" s="366"/>
      <c r="C24" s="366"/>
      <c r="D24" s="369"/>
      <c r="E24" s="372"/>
      <c r="F24" s="276" t="s">
        <v>421</v>
      </c>
      <c r="G24" s="24"/>
    </row>
    <row r="25" spans="1:7" ht="72" customHeight="1">
      <c r="A25" s="373"/>
      <c r="B25" s="275" t="s">
        <v>443</v>
      </c>
      <c r="C25" s="276" t="s">
        <v>444</v>
      </c>
      <c r="D25" s="277" t="s">
        <v>2153</v>
      </c>
      <c r="E25" s="276" t="s">
        <v>2148</v>
      </c>
      <c r="F25" s="276" t="s">
        <v>446</v>
      </c>
      <c r="G25" s="24"/>
    </row>
    <row r="26" spans="1:7" ht="98.15" customHeight="1">
      <c r="A26" s="373"/>
      <c r="B26" s="361">
        <v>3</v>
      </c>
      <c r="C26" s="358" t="s">
        <v>66</v>
      </c>
      <c r="D26" s="379" t="s">
        <v>2154</v>
      </c>
      <c r="E26" s="370" t="s">
        <v>0</v>
      </c>
      <c r="F26" s="279" t="s">
        <v>60</v>
      </c>
      <c r="G26" s="24"/>
    </row>
    <row r="27" spans="1:7" ht="90" customHeight="1">
      <c r="A27" s="373"/>
      <c r="B27" s="362"/>
      <c r="C27" s="359"/>
      <c r="D27" s="380"/>
      <c r="E27" s="371"/>
      <c r="F27" s="280" t="s">
        <v>55</v>
      </c>
      <c r="G27" s="24"/>
    </row>
    <row r="28" spans="1:7" ht="19.399999999999999" customHeight="1">
      <c r="A28" s="373"/>
      <c r="B28" s="362"/>
      <c r="C28" s="359"/>
      <c r="D28" s="380"/>
      <c r="E28" s="371"/>
      <c r="F28" s="280" t="s">
        <v>56</v>
      </c>
      <c r="G28" s="24"/>
    </row>
    <row r="29" spans="1:7" ht="74.5" customHeight="1">
      <c r="A29" s="373"/>
      <c r="B29" s="362"/>
      <c r="C29" s="359"/>
      <c r="D29" s="380"/>
      <c r="E29" s="371"/>
      <c r="F29" s="280" t="s">
        <v>57</v>
      </c>
      <c r="G29" s="24"/>
    </row>
    <row r="30" spans="1:7" ht="62.5" customHeight="1">
      <c r="A30" s="373"/>
      <c r="B30" s="362"/>
      <c r="C30" s="359"/>
      <c r="D30" s="380"/>
      <c r="E30" s="371"/>
      <c r="F30" s="280" t="s">
        <v>58</v>
      </c>
      <c r="G30" s="24"/>
    </row>
    <row r="31" spans="1:7" ht="81" customHeight="1">
      <c r="A31" s="373"/>
      <c r="B31" s="362"/>
      <c r="C31" s="359"/>
      <c r="D31" s="380"/>
      <c r="E31" s="371"/>
      <c r="F31" s="280" t="s">
        <v>59</v>
      </c>
      <c r="G31" s="24"/>
    </row>
    <row r="32" spans="1:7" ht="48.75" customHeight="1">
      <c r="A32" s="373"/>
      <c r="B32" s="362"/>
      <c r="C32" s="359"/>
      <c r="D32" s="380"/>
      <c r="E32" s="371"/>
      <c r="F32" s="280" t="s">
        <v>62</v>
      </c>
      <c r="G32" s="24"/>
    </row>
    <row r="33" spans="1:7" ht="98.5" customHeight="1">
      <c r="A33" s="373"/>
      <c r="B33" s="362"/>
      <c r="C33" s="359"/>
      <c r="D33" s="380"/>
      <c r="E33" s="371"/>
      <c r="F33" s="280" t="s">
        <v>61</v>
      </c>
      <c r="G33" s="24"/>
    </row>
    <row r="34" spans="1:7" ht="89.15" customHeight="1">
      <c r="A34" s="373"/>
      <c r="B34" s="362"/>
      <c r="C34" s="359"/>
      <c r="D34" s="380"/>
      <c r="E34" s="371"/>
      <c r="F34" s="280" t="s">
        <v>63</v>
      </c>
      <c r="G34" s="24"/>
    </row>
    <row r="35" spans="1:7" ht="29.15" customHeight="1">
      <c r="A35" s="373"/>
      <c r="B35" s="362"/>
      <c r="C35" s="359"/>
      <c r="D35" s="380"/>
      <c r="E35" s="371"/>
      <c r="F35" s="280" t="s">
        <v>64</v>
      </c>
      <c r="G35" s="24"/>
    </row>
    <row r="36" spans="1:7" ht="138.5">
      <c r="A36" s="373"/>
      <c r="B36" s="363"/>
      <c r="C36" s="360"/>
      <c r="D36" s="381"/>
      <c r="E36" s="372"/>
      <c r="F36" s="282" t="s">
        <v>65</v>
      </c>
      <c r="G36" s="24"/>
    </row>
    <row r="37" spans="1:7" ht="138">
      <c r="A37" s="373"/>
      <c r="B37" s="281">
        <v>3.01</v>
      </c>
      <c r="C37" s="283" t="s">
        <v>66</v>
      </c>
      <c r="D37" s="277" t="s">
        <v>2155</v>
      </c>
      <c r="E37" s="284" t="s">
        <v>1282</v>
      </c>
      <c r="F37" s="285" t="s">
        <v>1384</v>
      </c>
      <c r="G37" s="24"/>
    </row>
    <row r="38" spans="1:7" ht="126.5">
      <c r="A38" s="373"/>
      <c r="B38" s="281">
        <v>3.02</v>
      </c>
      <c r="C38" s="283" t="s">
        <v>1314</v>
      </c>
      <c r="D38" s="277" t="s">
        <v>2156</v>
      </c>
      <c r="E38" s="284" t="s">
        <v>1329</v>
      </c>
      <c r="F38" s="285" t="s">
        <v>1385</v>
      </c>
      <c r="G38" s="24"/>
    </row>
    <row r="39" spans="1:7" ht="103.5">
      <c r="A39" s="373"/>
      <c r="B39" s="286">
        <v>4</v>
      </c>
      <c r="C39" s="287" t="s">
        <v>1480</v>
      </c>
      <c r="D39" s="277" t="s">
        <v>2157</v>
      </c>
      <c r="E39" s="276" t="s">
        <v>2104</v>
      </c>
      <c r="F39" s="276" t="s">
        <v>1481</v>
      </c>
      <c r="G39" s="24"/>
    </row>
    <row r="40" spans="1:7" ht="57.5">
      <c r="A40" s="373"/>
      <c r="B40" s="281">
        <v>4.01</v>
      </c>
      <c r="C40" s="287" t="s">
        <v>1480</v>
      </c>
      <c r="D40" s="277" t="s">
        <v>2159</v>
      </c>
      <c r="E40" s="276" t="s">
        <v>2116</v>
      </c>
      <c r="F40" s="276" t="s">
        <v>2120</v>
      </c>
      <c r="G40" s="24"/>
    </row>
    <row r="41" spans="1:7" ht="57.5">
      <c r="A41" s="373"/>
      <c r="B41" s="281" t="s">
        <v>2146</v>
      </c>
      <c r="C41" s="287" t="s">
        <v>1480</v>
      </c>
      <c r="D41" s="277" t="s">
        <v>2158</v>
      </c>
      <c r="E41" s="276" t="s">
        <v>2149</v>
      </c>
      <c r="F41" s="276" t="s">
        <v>2147</v>
      </c>
      <c r="G41" s="24"/>
    </row>
    <row r="42" spans="1:7" ht="57.5">
      <c r="A42" s="373"/>
      <c r="B42" s="281" t="s">
        <v>2173</v>
      </c>
      <c r="C42" s="287" t="s">
        <v>1480</v>
      </c>
      <c r="D42" s="277" t="s">
        <v>2178</v>
      </c>
      <c r="E42" s="276" t="s">
        <v>2148</v>
      </c>
      <c r="F42" s="276" t="s">
        <v>2174</v>
      </c>
      <c r="G42" s="24"/>
    </row>
    <row r="43" spans="1:7" ht="172.5">
      <c r="A43" s="373"/>
      <c r="B43" s="288">
        <v>4.0999999999999996</v>
      </c>
      <c r="C43" s="287" t="s">
        <v>2177</v>
      </c>
      <c r="D43" s="289">
        <v>42867</v>
      </c>
      <c r="E43" s="290" t="s">
        <v>2180</v>
      </c>
      <c r="F43" s="276" t="s">
        <v>2179</v>
      </c>
      <c r="G43" s="24"/>
    </row>
    <row r="44" spans="1:7" ht="103.5">
      <c r="A44" s="373"/>
      <c r="B44" s="288">
        <v>4.2</v>
      </c>
      <c r="C44" s="287" t="s">
        <v>2177</v>
      </c>
      <c r="D44" s="289">
        <v>42704</v>
      </c>
      <c r="E44" s="290" t="s">
        <v>2369</v>
      </c>
      <c r="F44" s="276" t="s">
        <v>2344</v>
      </c>
      <c r="G44" s="24"/>
    </row>
    <row r="45" spans="1:7" ht="207">
      <c r="A45" s="373"/>
      <c r="B45" s="291">
        <v>5</v>
      </c>
      <c r="C45" s="287" t="s">
        <v>2177</v>
      </c>
      <c r="D45" s="289">
        <v>42867</v>
      </c>
      <c r="E45" s="290" t="s">
        <v>12256</v>
      </c>
      <c r="F45" s="276" t="s">
        <v>11978</v>
      </c>
      <c r="G45" s="24"/>
    </row>
    <row r="46" spans="1:7" ht="57.5">
      <c r="A46" s="373"/>
      <c r="B46" s="288">
        <v>5.01</v>
      </c>
      <c r="C46" s="287" t="s">
        <v>2177</v>
      </c>
      <c r="D46" s="289">
        <v>42907</v>
      </c>
      <c r="E46" s="290" t="s">
        <v>14886</v>
      </c>
      <c r="F46" s="276" t="s">
        <v>11978</v>
      </c>
      <c r="G46" s="24"/>
    </row>
    <row r="47" spans="1:7" ht="92">
      <c r="A47" s="373"/>
      <c r="B47" s="288">
        <v>5.0999999999999996</v>
      </c>
      <c r="C47" s="287" t="s">
        <v>2177</v>
      </c>
      <c r="D47" s="289">
        <v>43070</v>
      </c>
      <c r="E47" s="290" t="s">
        <v>12456</v>
      </c>
      <c r="F47" s="276" t="s">
        <v>12457</v>
      </c>
      <c r="G47" s="24"/>
    </row>
    <row r="48" spans="1:7" ht="80.5">
      <c r="A48" s="373"/>
      <c r="B48" s="288">
        <v>5.1100000000000003</v>
      </c>
      <c r="C48" s="287" t="s">
        <v>12684</v>
      </c>
      <c r="D48" s="289">
        <v>43217</v>
      </c>
      <c r="E48" s="290" t="s">
        <v>12786</v>
      </c>
      <c r="F48" s="276" t="s">
        <v>12711</v>
      </c>
      <c r="G48" s="24"/>
    </row>
    <row r="49" spans="1:7" ht="80.5">
      <c r="A49" s="373"/>
      <c r="B49" s="288">
        <v>5.12</v>
      </c>
      <c r="C49" s="287" t="s">
        <v>12684</v>
      </c>
      <c r="D49" s="289">
        <v>43581</v>
      </c>
      <c r="E49" s="290" t="s">
        <v>12786</v>
      </c>
      <c r="F49" s="276" t="s">
        <v>13315</v>
      </c>
      <c r="G49" s="24"/>
    </row>
    <row r="50" spans="1:7" ht="115">
      <c r="A50" s="373"/>
      <c r="B50" s="291">
        <v>6</v>
      </c>
      <c r="C50" s="287" t="s">
        <v>12684</v>
      </c>
      <c r="D50" s="289">
        <v>43964</v>
      </c>
      <c r="E50" s="290" t="s">
        <v>13527</v>
      </c>
      <c r="F50" s="276" t="s">
        <v>13318</v>
      </c>
      <c r="G50" s="24"/>
    </row>
    <row r="51" spans="1:7" ht="57.5">
      <c r="A51" s="373"/>
      <c r="B51" s="288">
        <v>6.01</v>
      </c>
      <c r="C51" s="287" t="s">
        <v>12684</v>
      </c>
      <c r="D51" s="289">
        <v>43970</v>
      </c>
      <c r="E51" s="290" t="s">
        <v>14887</v>
      </c>
      <c r="F51" s="290" t="s">
        <v>13318</v>
      </c>
      <c r="G51" s="24"/>
    </row>
    <row r="52" spans="1:7" ht="57.5">
      <c r="A52" s="373"/>
      <c r="B52" s="288">
        <v>6.1</v>
      </c>
      <c r="C52" s="287" t="s">
        <v>12684</v>
      </c>
      <c r="D52" s="289">
        <v>44314</v>
      </c>
      <c r="E52" s="290" t="s">
        <v>14880</v>
      </c>
      <c r="F52" s="290" t="s">
        <v>14487</v>
      </c>
      <c r="G52" s="24"/>
    </row>
    <row r="53" spans="1:7" ht="57.5">
      <c r="A53" s="373"/>
      <c r="B53" s="288">
        <v>6.2</v>
      </c>
      <c r="C53" s="287" t="s">
        <v>12684</v>
      </c>
      <c r="D53" s="289">
        <v>44678</v>
      </c>
      <c r="E53" s="290" t="s">
        <v>14880</v>
      </c>
      <c r="F53" s="290" t="s">
        <v>14879</v>
      </c>
      <c r="G53" s="24"/>
    </row>
    <row r="54" spans="1:7" ht="57.5">
      <c r="A54" s="373"/>
      <c r="B54" s="288">
        <v>6.21</v>
      </c>
      <c r="C54" s="287" t="s">
        <v>12684</v>
      </c>
      <c r="D54" s="289">
        <v>44687</v>
      </c>
      <c r="E54" s="290" t="s">
        <v>14888</v>
      </c>
      <c r="F54" s="290" t="s">
        <v>14879</v>
      </c>
      <c r="G54" s="24"/>
    </row>
    <row r="55" spans="1:7" ht="57.5">
      <c r="A55" s="373"/>
      <c r="B55" s="288">
        <v>6.22</v>
      </c>
      <c r="C55" s="287" t="s">
        <v>12684</v>
      </c>
      <c r="D55" s="292">
        <v>44692</v>
      </c>
      <c r="E55" s="290" t="s">
        <v>14887</v>
      </c>
      <c r="F55" s="290" t="s">
        <v>14879</v>
      </c>
      <c r="G55" s="24"/>
    </row>
    <row r="56" spans="1:7" ht="80.5">
      <c r="A56" s="373"/>
      <c r="B56" s="291">
        <v>6.3</v>
      </c>
      <c r="C56" s="287" t="s">
        <v>12684</v>
      </c>
      <c r="D56" s="292">
        <v>45051</v>
      </c>
      <c r="E56" s="290" t="s">
        <v>15144</v>
      </c>
      <c r="F56" s="290" t="s">
        <v>14925</v>
      </c>
      <c r="G56" s="24"/>
    </row>
    <row r="57" spans="1:7" ht="57.5">
      <c r="A57" s="373"/>
      <c r="B57" s="288">
        <v>6.31</v>
      </c>
      <c r="C57" s="287" t="s">
        <v>12684</v>
      </c>
      <c r="D57" s="292">
        <v>45072</v>
      </c>
      <c r="E57" s="290" t="s">
        <v>15146</v>
      </c>
      <c r="F57" s="290" t="s">
        <v>14925</v>
      </c>
      <c r="G57" s="24"/>
    </row>
    <row r="58" spans="1:7" ht="57.5">
      <c r="A58" s="373"/>
      <c r="B58" s="291">
        <v>6.4</v>
      </c>
      <c r="C58" s="287" t="s">
        <v>12684</v>
      </c>
      <c r="D58" s="292">
        <v>45408</v>
      </c>
      <c r="E58" s="290" t="s">
        <v>15148</v>
      </c>
      <c r="F58" s="290" t="s">
        <v>15147</v>
      </c>
      <c r="G58" s="24"/>
    </row>
    <row r="59" spans="1:7" ht="57.5">
      <c r="A59" s="373"/>
      <c r="B59" s="291">
        <v>6.5</v>
      </c>
      <c r="C59" s="287" t="s">
        <v>12684</v>
      </c>
      <c r="D59" s="292">
        <v>45772</v>
      </c>
      <c r="E59" s="290" t="s">
        <v>15217</v>
      </c>
      <c r="F59" s="290" t="s">
        <v>15259</v>
      </c>
      <c r="G59" s="24"/>
    </row>
    <row r="60" spans="1:7" ht="80.5">
      <c r="A60" s="373"/>
      <c r="B60" s="291">
        <v>6.6</v>
      </c>
      <c r="C60" s="287" t="s">
        <v>12684</v>
      </c>
      <c r="D60" s="292">
        <v>46129</v>
      </c>
      <c r="E60" s="290" t="s">
        <v>15870</v>
      </c>
      <c r="F60" s="293" t="s">
        <v>15352</v>
      </c>
      <c r="G60" s="24"/>
    </row>
    <row r="61" spans="1:7" ht="14" thickBot="1">
      <c r="A61" s="374"/>
      <c r="B61" s="375" t="str">
        <f ca="1">OFFSET(L!$C$1,MATCH("General"&amp;"Cpy",L!$A:$A,0)-1,SL,,)</f>
        <v>© 2026 Responsible Minerals Initiative. All rights reserved.</v>
      </c>
      <c r="C61" s="375"/>
      <c r="D61" s="375"/>
      <c r="E61" s="375"/>
      <c r="F61" s="375"/>
      <c r="G61" s="25"/>
    </row>
    <row r="62" spans="1:7" ht="14"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50">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5"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5"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5"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4"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5"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5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 customHeight="1">
      <c r="A52" s="99" t="str">
        <f ca="1">OFFSET(L!$C$1,MATCH("Instructions"&amp;ADDRESS(ROW(),COLUMN(),4),L!$A:$A,0)-1,SL,,)</f>
        <v>2. Metal (*)   -   Use the pull down menu to select the metal for which you are entering smelter information.  This field is mandatory.</v>
      </c>
      <c r="B52" s="97"/>
    </row>
    <row r="53" spans="1:2" ht="79"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5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4"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5"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4"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4"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5"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5">
      <c r="A10" s="71"/>
      <c r="B10" s="60" t="str">
        <f ca="1">OFFSET(L!$C$1,MATCH("Definitions"&amp;ADDRESS(ROW(),COLUMN(),4),L!$A:$A,0)-1,SL,,)</f>
        <v>DRC</v>
      </c>
      <c r="C10" s="60" t="str">
        <f ca="1">OFFSET(L!$C$1,MATCH("Definitions"&amp;ADDRESS(ROW(),COLUMN(),4),L!$A:$A,0)-1,SL,,)</f>
        <v>Democratic Republic of Congo</v>
      </c>
      <c r="D10" s="386"/>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70">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20">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30">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5"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6"/>
      <c r="E26" s="97" t="s">
        <v>1268</v>
      </c>
    </row>
    <row r="27" spans="1:5" ht="60">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3"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4" thickBot="1">
      <c r="A33" s="72"/>
      <c r="B33" s="146"/>
      <c r="C33" s="146"/>
      <c r="D33" s="387"/>
    </row>
    <row r="34" spans="1:4" ht="14"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70" zoomScaleNormal="70" zoomScalePageLayoutView="70" workbookViewId="0">
      <selection activeCell="D89" sqref="D89:E89"/>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4"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5">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7"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5">
      <c r="A8" s="35"/>
      <c r="B8" s="70" t="str">
        <f ca="1">OFFSET(L!$C$1,MATCH("Declaration"&amp;ADDRESS(ROW(),COLUMN(),4),L!$A:$A,0)-1,SL,,)</f>
        <v>Company Name (*):</v>
      </c>
      <c r="C8" s="73"/>
      <c r="D8" s="334" t="s">
        <v>15879</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5">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 customHeight="1">
      <c r="A10" s="35"/>
      <c r="B10" s="347" t="str">
        <f ca="1">OFFSET(L!$C$1,MATCH("Declaration"&amp;ADDRESS(ROW(),COLUMN(),4)&amp;LEFT($D$9,1),L!$A:$A,0)-1,SL,,)</f>
        <v>Description of Scope:</v>
      </c>
      <c r="C10" s="119"/>
      <c r="D10" s="338" t="s">
        <v>15880</v>
      </c>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5">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5">
      <c r="A12" s="35"/>
      <c r="B12" s="37" t="str">
        <f ca="1">OFFSET(L!$C$1,MATCH("Declaration"&amp;ADDRESS(ROW(),COLUMN(),4),L!$A:$A,0)-1,SL,,)</f>
        <v>Company Unique ID:</v>
      </c>
      <c r="C12" s="74"/>
      <c r="D12" s="321" t="s">
        <v>15881</v>
      </c>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
      <c r="A13" s="35"/>
      <c r="B13" s="37" t="str">
        <f ca="1">OFFSET(L!$C$1,MATCH("Declaration"&amp;ADDRESS(ROW(),COLUMN(),4),L!$A:$A,0)-1,SL,,)</f>
        <v>Company Unique ID Authority:</v>
      </c>
      <c r="C13" s="74"/>
      <c r="D13" s="321" t="s">
        <v>15882</v>
      </c>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
      <c r="A14" s="35"/>
      <c r="B14" s="37" t="str">
        <f ca="1">OFFSET(L!$C$1,MATCH("Declaration"&amp;ADDRESS(ROW(),COLUMN(),4),L!$A:$A,0)-1,SL,,)</f>
        <v>Address:</v>
      </c>
      <c r="C14" s="74"/>
      <c r="D14" s="321" t="s">
        <v>15883</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
      <c r="A15" s="35"/>
      <c r="B15" s="37" t="str">
        <f ca="1">OFFSET(L!$C$1,MATCH("Declaration"&amp;ADDRESS(ROW(),COLUMN(),4),L!$A:$A,0)-1,SL,,)</f>
        <v>Contact Name (*):</v>
      </c>
      <c r="C15" s="74"/>
      <c r="D15" s="321" t="s">
        <v>15884</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
      <c r="A16" s="35"/>
      <c r="B16" s="37" t="str">
        <f ca="1">OFFSET(L!$C$1,MATCH("Declaration"&amp;ADDRESS(ROW(),COLUMN(),4),L!$A:$A,0)-1,SL,,)</f>
        <v>Email – Contact (*):</v>
      </c>
      <c r="C16" s="74"/>
      <c r="D16" s="349" t="s">
        <v>15885</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5">
      <c r="A17" s="35"/>
      <c r="B17" s="37" t="str">
        <f ca="1">OFFSET(L!$C$1,MATCH("Declaration"&amp;ADDRESS(ROW(),COLUMN(),4),L!$A:$A,0)-1,SL,,)</f>
        <v>Phone – Contact (*):</v>
      </c>
      <c r="C17" s="74"/>
      <c r="D17" s="321" t="s">
        <v>15886</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3">
      <c r="A18" s="35"/>
      <c r="B18" s="37" t="str">
        <f ca="1">OFFSET(L!$C$1,MATCH("Declaration"&amp;ADDRESS(ROW(),COLUMN(),4),L!$A:$A,0)-1,SL,,)</f>
        <v>Authorizer (*):</v>
      </c>
      <c r="C18" s="74"/>
      <c r="D18" s="294" t="s">
        <v>15884</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3">
      <c r="A19" s="35"/>
      <c r="B19" s="37" t="str">
        <f ca="1">OFFSET(L!$C$1,MATCH("Declaration"&amp;ADDRESS(ROW(),COLUMN(),4),L!$A:$A,0)-1,SL,,)</f>
        <v>Title - Authorizer:</v>
      </c>
      <c r="C19" s="74"/>
      <c r="D19" s="321" t="s">
        <v>15887</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3">
      <c r="A20" s="35"/>
      <c r="B20" s="37" t="str">
        <f ca="1">OFFSET(L!$C$1,MATCH("Declaration"&amp;ADDRESS(ROW(),COLUMN(),4),L!$A:$A,0)-1,SL,,)</f>
        <v>Email - Authorizer (*):</v>
      </c>
      <c r="C20" s="74"/>
      <c r="D20" s="349" t="s">
        <v>15885</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5">
      <c r="A21" s="35"/>
      <c r="B21" s="37" t="str">
        <f ca="1">OFFSET(L!$C$1,MATCH("Declaration"&amp;ADDRESS(ROW(),COLUMN(),4),L!$A:$A,0)-1,SL,,)</f>
        <v>Phone - Authorizer:</v>
      </c>
      <c r="C21" s="130"/>
      <c r="D21" s="352" t="s">
        <v>15886</v>
      </c>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7.5">
      <c r="A22" s="35"/>
      <c r="B22" s="37" t="str">
        <f ca="1">OFFSET(L!$C$1,MATCH("Declaration"&amp;ADDRESS(ROW(),COLUMN(),4),L!$A:$A,0)-1,SL,,)</f>
        <v>Effective Date (*):</v>
      </c>
      <c r="C22" s="75"/>
      <c r="D22" s="355">
        <v>46152</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5">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3">
      <c r="A26" s="38"/>
      <c r="B26" s="37" t="str">
        <f ca="1">OFFSET(L!$C$1,MATCH("Declaration"&amp;ADDRESS(ROW(),COLUMN(),4),L!$A:$A,0)-1,SL,,)&amp;P26</f>
        <v xml:space="preserve">Tantalum  </v>
      </c>
      <c r="C26" s="32"/>
      <c r="D26" s="297" t="s">
        <v>474</v>
      </c>
      <c r="E26" s="298"/>
      <c r="F26" s="11"/>
      <c r="G26" s="299"/>
      <c r="H26" s="300"/>
      <c r="I26" s="300"/>
      <c r="J26" s="301"/>
      <c r="K26" s="33"/>
      <c r="L26" s="113"/>
      <c r="P26" s="42" t="str">
        <f>IF(D$26="No","","(*)")</f>
        <v/>
      </c>
      <c r="R26" s="2"/>
      <c r="S26" s="2"/>
      <c r="T26" s="2"/>
      <c r="U26" s="2"/>
      <c r="V26" s="2"/>
      <c r="W26" s="2"/>
      <c r="X26" s="2"/>
      <c r="Y26" s="2"/>
      <c r="Z26" s="2"/>
      <c r="AA26" s="2"/>
      <c r="AB26" s="2"/>
      <c r="AC26" s="2"/>
      <c r="AD26" s="2"/>
      <c r="AE26" s="2"/>
      <c r="AF26" s="2"/>
      <c r="AG26" s="2"/>
      <c r="AH26" s="2"/>
    </row>
    <row r="27" spans="1:34" ht="23">
      <c r="A27" s="38"/>
      <c r="B27" s="37" t="str">
        <f ca="1">OFFSET(L!$C$1,MATCH("Declaration"&amp;ADDRESS(ROW(),COLUMN(),4),L!$A:$A,0)-1,SL,,)&amp;P27</f>
        <v>Tin  (*)</v>
      </c>
      <c r="C27" s="32"/>
      <c r="D27" s="297" t="s">
        <v>473</v>
      </c>
      <c r="E27" s="298"/>
      <c r="F27" s="11"/>
      <c r="G27" s="299"/>
      <c r="H27" s="300"/>
      <c r="I27" s="300"/>
      <c r="J27" s="301"/>
      <c r="K27" s="33"/>
      <c r="L27" s="113"/>
      <c r="P27" s="42" t="str">
        <f>IF(D$27="No","","(*)")</f>
        <v>(*)</v>
      </c>
      <c r="R27" s="2"/>
      <c r="S27" s="2"/>
      <c r="T27" s="2"/>
      <c r="U27" s="2"/>
      <c r="V27" s="2"/>
      <c r="W27" s="2"/>
      <c r="X27" s="2"/>
      <c r="Y27" s="2"/>
      <c r="Z27" s="2"/>
      <c r="AA27" s="2"/>
      <c r="AB27" s="2"/>
      <c r="AC27" s="2"/>
      <c r="AD27" s="2"/>
      <c r="AE27" s="2"/>
      <c r="AF27" s="2"/>
      <c r="AG27" s="2"/>
      <c r="AH27" s="2"/>
    </row>
    <row r="28" spans="1:34" ht="23">
      <c r="A28" s="38"/>
      <c r="B28" s="37" t="str">
        <f ca="1">OFFSET(L!$C$1,MATCH("Declaration"&amp;ADDRESS(ROW(),COLUMN(),4),L!$A:$A,0)-1,SL,,)&amp;P28</f>
        <v>Gold  (*)</v>
      </c>
      <c r="C28" s="32"/>
      <c r="D28" s="297" t="s">
        <v>473</v>
      </c>
      <c r="E28" s="298"/>
      <c r="F28" s="11"/>
      <c r="G28" s="299"/>
      <c r="H28" s="300"/>
      <c r="I28" s="300"/>
      <c r="J28" s="301"/>
      <c r="K28" s="33"/>
      <c r="L28" s="113"/>
      <c r="P28" s="42" t="str">
        <f>IF(D$28="No","","(*)")</f>
        <v>(*)</v>
      </c>
      <c r="R28" s="2"/>
      <c r="S28" s="2"/>
      <c r="T28" s="2"/>
      <c r="U28" s="2"/>
      <c r="V28" s="2"/>
      <c r="W28" s="2"/>
      <c r="X28" s="2"/>
      <c r="Y28" s="2"/>
      <c r="Z28" s="2"/>
      <c r="AA28" s="2"/>
      <c r="AB28" s="2"/>
      <c r="AC28" s="2"/>
      <c r="AD28" s="2"/>
      <c r="AE28" s="2"/>
      <c r="AF28" s="2"/>
      <c r="AG28" s="2"/>
      <c r="AH28" s="2"/>
    </row>
    <row r="29" spans="1:34" ht="23">
      <c r="A29" s="38"/>
      <c r="B29" s="37" t="str">
        <f ca="1">OFFSET(L!$C$1,MATCH("Declaration"&amp;ADDRESS(ROW(),COLUMN(),4),L!$A:$A,0)-1,SL,,)&amp;P29</f>
        <v>Tungsten  (*)</v>
      </c>
      <c r="C29" s="32"/>
      <c r="D29" s="297" t="s">
        <v>473</v>
      </c>
      <c r="E29" s="298"/>
      <c r="F29" s="11"/>
      <c r="G29" s="299"/>
      <c r="H29" s="300"/>
      <c r="I29" s="300"/>
      <c r="J29" s="301"/>
      <c r="K29" s="33"/>
      <c r="L29" s="113"/>
      <c r="P29" s="42" t="str">
        <f>IF(D$29="No","","(*)")</f>
        <v>(*)</v>
      </c>
      <c r="R29" s="2"/>
      <c r="S29" s="2"/>
      <c r="T29" s="2"/>
      <c r="U29" s="2"/>
      <c r="V29" s="2"/>
      <c r="W29" s="2"/>
      <c r="X29" s="2"/>
      <c r="Y29" s="2"/>
      <c r="Z29" s="2"/>
      <c r="AA29" s="2"/>
      <c r="AB29" s="2"/>
      <c r="AC29" s="2"/>
      <c r="AD29" s="2"/>
      <c r="AE29" s="2"/>
      <c r="AF29" s="2"/>
      <c r="AG29" s="2"/>
      <c r="AH29" s="2"/>
    </row>
    <row r="30" spans="1:34" ht="17.5">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Does any 3TG remain in the product(s)? (*)</v>
      </c>
      <c r="C31" s="9"/>
      <c r="D31" s="306" t="str">
        <f ca="1">D25</f>
        <v>Answer</v>
      </c>
      <c r="E31" s="306"/>
      <c r="F31" s="17"/>
      <c r="G31" s="41" t="str">
        <f ca="1">G25</f>
        <v>Comments</v>
      </c>
      <c r="H31" s="41"/>
      <c r="I31" s="41"/>
      <c r="J31" s="80"/>
      <c r="K31" s="33"/>
      <c r="L31" s="108" t="s">
        <v>1197</v>
      </c>
      <c r="P31" s="42">
        <f>COUNTIF(D$26:D$29,"No")</f>
        <v>1</v>
      </c>
      <c r="Q31" s="42" t="str">
        <f>IF(P31=4,""," (*)")</f>
        <v xml:space="preserve"> (*)</v>
      </c>
      <c r="R31" s="2"/>
      <c r="S31" s="2"/>
      <c r="T31" s="2"/>
      <c r="U31" s="2"/>
      <c r="V31" s="2"/>
      <c r="W31" s="2"/>
      <c r="X31" s="2"/>
      <c r="Y31" s="2"/>
      <c r="Z31" s="2"/>
      <c r="AA31" s="2"/>
      <c r="AB31" s="2"/>
      <c r="AC31" s="2"/>
      <c r="AD31" s="2"/>
      <c r="AE31" s="2"/>
      <c r="AF31" s="2"/>
      <c r="AG31" s="2"/>
      <c r="AH31" s="2"/>
    </row>
    <row r="32" spans="1:34" ht="23">
      <c r="A32" s="38"/>
      <c r="B32" s="37" t="str">
        <f ca="1">B26</f>
        <v xml:space="preserve">Tantalum  </v>
      </c>
      <c r="C32" s="9"/>
      <c r="D32" s="316"/>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3">
      <c r="A33" s="38"/>
      <c r="B33" s="37" t="str">
        <f ca="1">B27</f>
        <v>Tin  (*)</v>
      </c>
      <c r="C33" s="9"/>
      <c r="D33" s="297" t="s">
        <v>473</v>
      </c>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3">
      <c r="A34" s="38"/>
      <c r="B34" s="37" t="str">
        <f ca="1">B28</f>
        <v>Gold  (*)</v>
      </c>
      <c r="C34" s="9"/>
      <c r="D34" s="297" t="s">
        <v>473</v>
      </c>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3">
      <c r="A35" s="38"/>
      <c r="B35" s="37" t="str">
        <f ca="1">B29</f>
        <v>Tungsten  (*)</v>
      </c>
      <c r="C35" s="9"/>
      <c r="D35" s="297" t="s">
        <v>473</v>
      </c>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7.5">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Do any of the smelters in your supply chain source the 3TG from the covered countries? (SEC term, see definitions tab) (*)</v>
      </c>
      <c r="C37" s="9"/>
      <c r="D37" s="306" t="str">
        <f ca="1">D25</f>
        <v>Answer</v>
      </c>
      <c r="E37" s="306"/>
      <c r="F37" s="17"/>
      <c r="G37" s="41" t="str">
        <f ca="1">G25</f>
        <v>Comments</v>
      </c>
      <c r="H37" s="320"/>
      <c r="I37" s="320"/>
      <c r="J37" s="320"/>
      <c r="K37" s="33"/>
      <c r="L37" s="108" t="s">
        <v>1197</v>
      </c>
      <c r="P37" s="42">
        <f>COUNTIF(D$26:D$29,"No")+COUNTIF(D$32:D$35,"No")</f>
        <v>1</v>
      </c>
      <c r="Q37" s="42" t="str">
        <f>IF(P37&gt;3,""," (*)")</f>
        <v xml:space="preserve"> (*)</v>
      </c>
      <c r="R37" s="2"/>
      <c r="S37" s="2"/>
      <c r="T37" s="2"/>
      <c r="U37" s="2"/>
      <c r="V37" s="2"/>
      <c r="W37" s="2"/>
      <c r="X37" s="2"/>
      <c r="Y37" s="2"/>
      <c r="Z37" s="2"/>
      <c r="AA37" s="2"/>
      <c r="AB37" s="2"/>
      <c r="AC37" s="2"/>
      <c r="AD37" s="2"/>
      <c r="AE37" s="2"/>
      <c r="AF37" s="2"/>
      <c r="AG37" s="2"/>
      <c r="AH37" s="2"/>
    </row>
    <row r="38" spans="1:34" ht="23">
      <c r="A38" s="38"/>
      <c r="B38" s="37" t="str">
        <f ca="1">OFFSET(L!$C$1,MATCH("Declaration"&amp;ADDRESS(ROW(),COLUMN(),4),L!$A:$A,0)-1,SL,,)&amp;P38</f>
        <v xml:space="preserve">Tantalum  </v>
      </c>
      <c r="C38" s="9"/>
      <c r="D38" s="297"/>
      <c r="E38" s="298"/>
      <c r="F38" s="44"/>
      <c r="G38" s="299"/>
      <c r="H38" s="300"/>
      <c r="I38" s="300"/>
      <c r="J38" s="301"/>
      <c r="K38" s="33"/>
      <c r="L38" s="113"/>
      <c r="P38" s="42" t="str">
        <f>IF((OR(D$26="No",D$32="No")),"","(*)")</f>
        <v/>
      </c>
      <c r="Q38" s="2"/>
      <c r="R38" s="2"/>
      <c r="S38" s="2"/>
      <c r="T38" s="2"/>
      <c r="U38" s="2"/>
      <c r="V38" s="2"/>
      <c r="W38" s="2"/>
      <c r="X38" s="2"/>
      <c r="Y38" s="2"/>
      <c r="Z38" s="2"/>
      <c r="AA38" s="2"/>
      <c r="AB38" s="2"/>
      <c r="AC38" s="2"/>
      <c r="AD38" s="2"/>
      <c r="AE38" s="2"/>
      <c r="AF38" s="2"/>
      <c r="AG38" s="2"/>
    </row>
    <row r="39" spans="1:34" ht="23">
      <c r="A39" s="38"/>
      <c r="B39" s="37" t="str">
        <f ca="1">OFFSET(L!$C$1,MATCH("Declaration"&amp;ADDRESS(ROW(),COLUMN(),4),L!$A:$A,0)-1,SL,,)&amp;P39</f>
        <v>Tin  (*)</v>
      </c>
      <c r="C39" s="9"/>
      <c r="D39" s="297" t="s">
        <v>474</v>
      </c>
      <c r="E39" s="298"/>
      <c r="F39" s="44"/>
      <c r="G39" s="299"/>
      <c r="H39" s="300"/>
      <c r="I39" s="300"/>
      <c r="J39" s="301"/>
      <c r="K39" s="33"/>
      <c r="L39" s="113"/>
      <c r="P39" s="42" t="str">
        <f>IF((OR(D$27="No",D$33="No")),"","(*)")</f>
        <v>(*)</v>
      </c>
      <c r="Q39" s="2"/>
      <c r="R39" s="2"/>
      <c r="S39" s="2"/>
      <c r="T39" s="2"/>
      <c r="U39" s="2"/>
      <c r="V39" s="2"/>
      <c r="W39" s="2"/>
      <c r="X39" s="2"/>
      <c r="Y39" s="2"/>
      <c r="Z39" s="2"/>
      <c r="AA39" s="2"/>
      <c r="AB39" s="2"/>
      <c r="AC39" s="2"/>
      <c r="AD39" s="2"/>
      <c r="AE39" s="2"/>
      <c r="AF39" s="2"/>
      <c r="AG39" s="2"/>
    </row>
    <row r="40" spans="1:34" ht="23">
      <c r="A40" s="38"/>
      <c r="B40" s="37" t="str">
        <f ca="1">OFFSET(L!$C$1,MATCH("Declaration"&amp;ADDRESS(ROW(),COLUMN(),4),L!$A:$A,0)-1,SL,,)&amp;P40</f>
        <v>Gold  (*)</v>
      </c>
      <c r="C40" s="9"/>
      <c r="D40" s="297" t="s">
        <v>474</v>
      </c>
      <c r="E40" s="298"/>
      <c r="F40" s="44"/>
      <c r="G40" s="299"/>
      <c r="H40" s="300"/>
      <c r="I40" s="300"/>
      <c r="J40" s="301"/>
      <c r="K40" s="33"/>
      <c r="L40" s="113"/>
      <c r="P40" s="42" t="str">
        <f>IF((OR(D$28="No",D$34="No")),"","(*)")</f>
        <v>(*)</v>
      </c>
      <c r="Q40" s="2"/>
      <c r="R40" s="2"/>
      <c r="S40" s="2"/>
      <c r="T40" s="2"/>
      <c r="U40" s="2"/>
      <c r="V40" s="2"/>
      <c r="W40" s="2"/>
      <c r="X40" s="2"/>
      <c r="Y40" s="2"/>
      <c r="Z40" s="2"/>
      <c r="AA40" s="2"/>
      <c r="AB40" s="2"/>
      <c r="AC40" s="2"/>
      <c r="AD40" s="2"/>
      <c r="AE40" s="2"/>
      <c r="AF40" s="2"/>
      <c r="AG40" s="2"/>
    </row>
    <row r="41" spans="1:34" ht="23">
      <c r="A41" s="38"/>
      <c r="B41" s="37" t="str">
        <f ca="1">OFFSET(L!$C$1,MATCH("Declaration"&amp;ADDRESS(ROW(),COLUMN(),4),L!$A:$A,0)-1,SL,,)&amp;P41</f>
        <v>Tungsten  (*)</v>
      </c>
      <c r="C41" s="9"/>
      <c r="D41" s="297" t="s">
        <v>474</v>
      </c>
      <c r="E41" s="298"/>
      <c r="F41" s="44"/>
      <c r="G41" s="299"/>
      <c r="H41" s="300"/>
      <c r="I41" s="300"/>
      <c r="J41" s="301"/>
      <c r="K41" s="33"/>
      <c r="L41" s="113"/>
      <c r="P41" s="42" t="str">
        <f>IF((OR(D$29="No",D$35="No")),"","(*)")</f>
        <v>(*)</v>
      </c>
      <c r="Q41" s="2"/>
      <c r="R41" s="2"/>
      <c r="S41" s="2"/>
      <c r="T41" s="2"/>
      <c r="U41" s="2"/>
      <c r="V41" s="2"/>
      <c r="W41" s="2"/>
      <c r="X41" s="2"/>
      <c r="Y41" s="2"/>
      <c r="Z41" s="2"/>
      <c r="AA41" s="2"/>
      <c r="AB41" s="2"/>
      <c r="AC41" s="2"/>
      <c r="AD41" s="2"/>
      <c r="AE41" s="2"/>
      <c r="AF41" s="2"/>
      <c r="AG41" s="2"/>
    </row>
    <row r="42" spans="1:34" ht="17.5">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Do any of the smelters in your supply chain source the 3TG from conflict-affected and high-risk areas? (*)</v>
      </c>
      <c r="C43" s="9"/>
      <c r="D43" s="306" t="str">
        <f ca="1">D25</f>
        <v>Answer</v>
      </c>
      <c r="E43" s="306"/>
      <c r="F43" s="17"/>
      <c r="G43" s="41" t="str">
        <f ca="1">G25</f>
        <v>Comments</v>
      </c>
      <c r="H43" s="41"/>
      <c r="I43" s="41"/>
      <c r="J43" s="80"/>
      <c r="K43" s="33"/>
      <c r="L43" s="108"/>
      <c r="P43" s="42">
        <f>COUNTIF(D$26:D$29,"No")+COUNTIF(D$32:D$35,"No")</f>
        <v>1</v>
      </c>
      <c r="Q43" s="42" t="str">
        <f>IF(P43&gt;3,""," (*)")</f>
        <v xml:space="preserve"> (*)</v>
      </c>
      <c r="R43" s="2"/>
      <c r="S43" s="2"/>
      <c r="T43" s="2"/>
      <c r="U43" s="2"/>
      <c r="V43" s="2"/>
      <c r="W43" s="2"/>
      <c r="X43" s="2"/>
      <c r="Y43" s="2"/>
      <c r="Z43" s="2"/>
      <c r="AA43" s="2"/>
      <c r="AB43" s="2"/>
      <c r="AC43" s="2"/>
      <c r="AD43" s="2"/>
      <c r="AE43" s="2"/>
      <c r="AF43" s="2"/>
      <c r="AG43" s="2"/>
      <c r="AH43" s="2"/>
    </row>
    <row r="44" spans="1:34" ht="23.15" customHeight="1">
      <c r="A44" s="38"/>
      <c r="B44" s="37" t="str">
        <f ca="1">OFFSET(L!$C$1,MATCH("Declaration"&amp;ADDRESS(ROW(),COLUMN(),4),L!$A:$A,0)-1,SL,,)&amp;P44</f>
        <v xml:space="preserve">Tantalum  </v>
      </c>
      <c r="C44" s="9"/>
      <c r="D44" s="297"/>
      <c r="E44" s="298"/>
      <c r="F44" s="44"/>
      <c r="G44" s="299"/>
      <c r="H44" s="300"/>
      <c r="I44" s="300"/>
      <c r="J44" s="301"/>
      <c r="K44" s="33"/>
      <c r="L44" s="108"/>
      <c r="P44" s="42" t="str">
        <f>IF((OR(D$26="No",D$32="No")),"","(*)")</f>
        <v/>
      </c>
      <c r="Q44" s="2"/>
      <c r="R44" s="2"/>
      <c r="S44" s="2"/>
      <c r="T44" s="2"/>
      <c r="U44" s="2"/>
      <c r="V44" s="2"/>
      <c r="W44" s="2"/>
      <c r="X44" s="2"/>
      <c r="Y44" s="2"/>
      <c r="Z44" s="2"/>
      <c r="AA44" s="2"/>
      <c r="AB44" s="2"/>
      <c r="AC44" s="2"/>
      <c r="AD44" s="2"/>
      <c r="AE44" s="2"/>
      <c r="AF44" s="2"/>
      <c r="AG44" s="2"/>
      <c r="AH44" s="2"/>
    </row>
    <row r="45" spans="1:34" ht="23.15" customHeight="1">
      <c r="A45" s="38"/>
      <c r="B45" s="37" t="str">
        <f ca="1">OFFSET(L!$C$1,MATCH("Declaration"&amp;ADDRESS(ROW(),COLUMN(),4),L!$A:$A,0)-1,SL,,)&amp;P45</f>
        <v>Tin  (*)</v>
      </c>
      <c r="C45" s="9"/>
      <c r="D45" s="297" t="s">
        <v>474</v>
      </c>
      <c r="E45" s="298"/>
      <c r="F45" s="44"/>
      <c r="G45" s="299"/>
      <c r="H45" s="300"/>
      <c r="I45" s="300"/>
      <c r="J45" s="301"/>
      <c r="K45" s="33"/>
      <c r="L45" s="108"/>
      <c r="P45" s="42" t="str">
        <f>IF((OR(D$27="No",D$33="No")),"","(*)")</f>
        <v>(*)</v>
      </c>
      <c r="Q45" s="2"/>
      <c r="R45" s="2"/>
      <c r="S45" s="2"/>
      <c r="T45" s="2"/>
      <c r="U45" s="2"/>
      <c r="V45" s="2"/>
      <c r="W45" s="2"/>
      <c r="X45" s="2"/>
      <c r="Y45" s="2"/>
      <c r="Z45" s="2"/>
      <c r="AA45" s="2"/>
      <c r="AB45" s="2"/>
      <c r="AC45" s="2"/>
      <c r="AD45" s="2"/>
      <c r="AE45" s="2"/>
      <c r="AF45" s="2"/>
      <c r="AG45" s="2"/>
      <c r="AH45" s="2"/>
    </row>
    <row r="46" spans="1:34" ht="23.15" customHeight="1">
      <c r="A46" s="38"/>
      <c r="B46" s="37" t="str">
        <f ca="1">OFFSET(L!$C$1,MATCH("Declaration"&amp;ADDRESS(ROW(),COLUMN(),4),L!$A:$A,0)-1,SL,,)&amp;P46</f>
        <v>Gold  (*)</v>
      </c>
      <c r="C46" s="9"/>
      <c r="D46" s="297" t="s">
        <v>474</v>
      </c>
      <c r="E46" s="298"/>
      <c r="F46" s="44"/>
      <c r="G46" s="299"/>
      <c r="H46" s="300"/>
      <c r="I46" s="300"/>
      <c r="J46" s="301"/>
      <c r="K46" s="33"/>
      <c r="L46" s="108"/>
      <c r="P46" s="42" t="str">
        <f>IF((OR(D$28="No",D$34="No")),"","(*)")</f>
        <v>(*)</v>
      </c>
      <c r="Q46" s="2"/>
      <c r="R46" s="2"/>
      <c r="S46" s="2"/>
      <c r="T46" s="2"/>
      <c r="U46" s="2"/>
      <c r="V46" s="2"/>
      <c r="W46" s="2"/>
      <c r="X46" s="2"/>
      <c r="Y46" s="2"/>
      <c r="Z46" s="2"/>
      <c r="AA46" s="2"/>
      <c r="AB46" s="2"/>
      <c r="AC46" s="2"/>
      <c r="AD46" s="2"/>
      <c r="AE46" s="2"/>
      <c r="AF46" s="2"/>
      <c r="AG46" s="2"/>
      <c r="AH46" s="2"/>
    </row>
    <row r="47" spans="1:34" ht="23.15" customHeight="1">
      <c r="A47" s="38"/>
      <c r="B47" s="37" t="str">
        <f ca="1">OFFSET(L!$C$1,MATCH("Declaration"&amp;ADDRESS(ROW(),COLUMN(),4),L!$A:$A,0)-1,SL,,)&amp;P47</f>
        <v>Tungsten  (*)</v>
      </c>
      <c r="C47" s="9"/>
      <c r="D47" s="297" t="s">
        <v>474</v>
      </c>
      <c r="E47" s="298"/>
      <c r="F47" s="44"/>
      <c r="G47" s="299"/>
      <c r="H47" s="300"/>
      <c r="I47" s="300"/>
      <c r="J47" s="301"/>
      <c r="K47" s="33"/>
      <c r="L47" s="108"/>
      <c r="P47" s="42" t="str">
        <f>IF((OR(D$29="No",D$35="No")),"","(*)")</f>
        <v>(*)</v>
      </c>
      <c r="Q47" s="2"/>
      <c r="R47" s="2"/>
      <c r="S47" s="2"/>
      <c r="T47" s="2"/>
      <c r="U47" s="2"/>
      <c r="V47" s="2"/>
      <c r="W47" s="2"/>
      <c r="X47" s="2"/>
      <c r="Y47" s="2"/>
      <c r="Z47" s="2"/>
      <c r="AA47" s="2"/>
      <c r="AB47" s="2"/>
      <c r="AC47" s="2"/>
      <c r="AD47" s="2"/>
      <c r="AE47" s="2"/>
      <c r="AF47" s="2"/>
      <c r="AG47" s="2"/>
      <c r="AH47" s="2"/>
    </row>
    <row r="48" spans="1:34" ht="23.15"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3">
      <c r="A50" s="38"/>
      <c r="B50" s="37" t="str">
        <f ca="1">B38</f>
        <v xml:space="preserve">Tantalum  </v>
      </c>
      <c r="C50" s="9"/>
      <c r="D50" s="297"/>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3">
      <c r="A51" s="38"/>
      <c r="B51" s="37" t="str">
        <f ca="1">B39</f>
        <v>Tin  (*)</v>
      </c>
      <c r="C51" s="9"/>
      <c r="D51" s="297" t="s">
        <v>474</v>
      </c>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3">
      <c r="A52" s="38"/>
      <c r="B52" s="37" t="str">
        <f ca="1">B40</f>
        <v>Gold  (*)</v>
      </c>
      <c r="C52" s="9"/>
      <c r="D52" s="297" t="s">
        <v>474</v>
      </c>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3">
      <c r="A53" s="38"/>
      <c r="B53" s="37" t="str">
        <f ca="1">B41</f>
        <v>Tungsten  (*)</v>
      </c>
      <c r="C53" s="9"/>
      <c r="D53" s="297" t="s">
        <v>474</v>
      </c>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7.5">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50" t="str">
        <f ca="1">OFFSET(L!$C$1,MATCH("Declaration"&amp;ADDRESS(ROW(),COLUMN(),4),L!$A:$A,0)-1,SL,,)&amp;Q$37</f>
        <v>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3">
      <c r="A56" s="38"/>
      <c r="B56" s="37" t="str">
        <f ca="1">B38</f>
        <v xml:space="preserve">Tantalum  </v>
      </c>
      <c r="C56" s="32"/>
      <c r="D56" s="318"/>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3">
      <c r="A57" s="38"/>
      <c r="B57" s="37" t="str">
        <f ca="1">B39</f>
        <v>Tin  (*)</v>
      </c>
      <c r="C57" s="32"/>
      <c r="D57" s="318">
        <v>1</v>
      </c>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3">
      <c r="A58" s="38"/>
      <c r="B58" s="37" t="str">
        <f ca="1">B40</f>
        <v>Gold  (*)</v>
      </c>
      <c r="C58" s="32"/>
      <c r="D58" s="318">
        <v>1</v>
      </c>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3">
      <c r="A59" s="38"/>
      <c r="B59" s="37" t="str">
        <f ca="1">B41</f>
        <v>Tungsten  (*)</v>
      </c>
      <c r="C59" s="32"/>
      <c r="D59" s="318">
        <v>1</v>
      </c>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50" t="str">
        <f ca="1">OFFSET(L!$C$1,MATCH("Declaration"&amp;ADDRESS(ROW(),COLUMN(),4),L!$A:$A,0)-1,SL,,)&amp;Q$37</f>
        <v>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3">
      <c r="A62" s="38"/>
      <c r="B62" s="37" t="str">
        <f ca="1">B38</f>
        <v xml:space="preserve">Tantalum  </v>
      </c>
      <c r="C62" s="9"/>
      <c r="D62" s="316"/>
      <c r="E62" s="317"/>
      <c r="F62" s="44"/>
      <c r="G62" s="299"/>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3">
      <c r="A63" s="38"/>
      <c r="B63" s="37" t="str">
        <f ca="1">B39</f>
        <v>Tin  (*)</v>
      </c>
      <c r="C63" s="9"/>
      <c r="D63" s="297" t="s">
        <v>473</v>
      </c>
      <c r="E63" s="298"/>
      <c r="F63" s="44"/>
      <c r="G63" s="299"/>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3">
      <c r="A64" s="38"/>
      <c r="B64" s="37" t="str">
        <f ca="1">B40</f>
        <v>Gold  (*)</v>
      </c>
      <c r="C64" s="9"/>
      <c r="D64" s="297" t="s">
        <v>473</v>
      </c>
      <c r="E64" s="298"/>
      <c r="F64" s="44"/>
      <c r="G64" s="299"/>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3">
      <c r="A65" s="38"/>
      <c r="B65" s="37" t="str">
        <f ca="1">B41</f>
        <v>Tungsten  (*)</v>
      </c>
      <c r="C65" s="9"/>
      <c r="D65" s="297" t="s">
        <v>473</v>
      </c>
      <c r="E65" s="298"/>
      <c r="F65" s="44"/>
      <c r="G65" s="299"/>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3">
      <c r="A68" s="38"/>
      <c r="B68" s="37" t="str">
        <f ca="1">B38</f>
        <v xml:space="preserve">Tantalum  </v>
      </c>
      <c r="C68" s="32"/>
      <c r="D68" s="297"/>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3">
      <c r="A69" s="38"/>
      <c r="B69" s="37" t="str">
        <f ca="1">B39</f>
        <v>Tin  (*)</v>
      </c>
      <c r="C69" s="32"/>
      <c r="D69" s="297" t="s">
        <v>473</v>
      </c>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3">
      <c r="A70" s="38"/>
      <c r="B70" s="37" t="str">
        <f ca="1">B40</f>
        <v>Gold  (*)</v>
      </c>
      <c r="C70" s="32"/>
      <c r="D70" s="297" t="s">
        <v>473</v>
      </c>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3">
      <c r="A71" s="35"/>
      <c r="B71" s="37" t="str">
        <f ca="1">B41</f>
        <v>Tungsten  (*)</v>
      </c>
      <c r="C71" s="46"/>
      <c r="D71" s="297" t="s">
        <v>473</v>
      </c>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5">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7" t="s">
        <v>473</v>
      </c>
      <c r="E75" s="298"/>
      <c r="F75" s="54"/>
      <c r="G75" s="299"/>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5">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4"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474</v>
      </c>
      <c r="E77" s="298"/>
      <c r="F77" s="54"/>
      <c r="G77" s="325"/>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473</v>
      </c>
      <c r="E79" s="298"/>
      <c r="F79" s="54"/>
      <c r="G79" s="299"/>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299"/>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11949</v>
      </c>
      <c r="E83" s="298"/>
      <c r="F83" s="54"/>
      <c r="G83" s="299" t="s">
        <v>15888</v>
      </c>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10" t="s">
        <v>473</v>
      </c>
      <c r="E85" s="311"/>
      <c r="F85" s="54"/>
      <c r="G85" s="299"/>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5">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4" customHeight="1">
      <c r="A87" s="38"/>
      <c r="B87" s="53" t="str">
        <f ca="1">OFFSET(L!$C$1,MATCH("Declaration"&amp;ADDRESS(ROW(),COLUMN(),4),L!$A:$A,0)-1,SL,,)&amp;$Q$37</f>
        <v>G. Does your review process include corrective action management? (*)</v>
      </c>
      <c r="C87" s="54"/>
      <c r="D87" s="297" t="s">
        <v>473</v>
      </c>
      <c r="E87" s="298"/>
      <c r="F87" s="54"/>
      <c r="G87" s="299"/>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5">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7" t="s">
        <v>474</v>
      </c>
      <c r="E89" s="298"/>
      <c r="F89" s="54"/>
      <c r="G89" s="299"/>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5.5"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5.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 hidden="1">
      <c r="B98" s="53" t="s">
        <v>475</v>
      </c>
      <c r="D98" s="264" t="str">
        <f>IF(AND(OR($D$26="Yes",$D$26=""),OR($D$32="Yes",$D$32="")),"Unknown","")</f>
        <v/>
      </c>
      <c r="E98" s="264" t="str">
        <f>IF(AND(OR($D$26="Yes",$D$26=""),OR($D$32="Yes",$D$32="")),"Greater than 75%","")</f>
        <v/>
      </c>
      <c r="G98" s="264" t="str">
        <f>IF(OR($D$27="Yes",$D$27=""),"Yes","")</f>
        <v>Yes</v>
      </c>
    </row>
    <row r="99" spans="2:7" ht="15" hidden="1">
      <c r="B99" s="172">
        <v>1</v>
      </c>
      <c r="D99" s="264" t="str">
        <f>IF(AND(OR($D$27="Yes",$D$27=""),OR($D$33="Yes",$D$33="")),"Yes","")</f>
        <v>Yes</v>
      </c>
      <c r="E99" s="264" t="str">
        <f>IF(AND(OR($D$26="Yes",$D$26=""),OR($D$32="Yes",$D$32="")),"Greater than 50%","")</f>
        <v/>
      </c>
      <c r="G99" s="264" t="str">
        <f>IF(OR($D$27="Yes",$D$27=""),"No","")</f>
        <v>No</v>
      </c>
    </row>
    <row r="100" spans="2:7" ht="15" hidden="1">
      <c r="B100" s="219" t="s">
        <v>2370</v>
      </c>
      <c r="D100" s="264" t="str">
        <f>IF(AND(OR($D$27="Yes",$D$27=""),OR($D$33="Yes",$D$33="")),"No","")</f>
        <v>No</v>
      </c>
      <c r="E100" s="264" t="str">
        <f>IF(AND(OR($D$26="Yes",$D$26=""),OR($D$32="Yes",$D$32="")),"50% or less","")</f>
        <v/>
      </c>
      <c r="G100" s="264" t="str">
        <f>IF(OR($D$28="Yes",$D$28=""),"Yes","")</f>
        <v>Yes</v>
      </c>
    </row>
    <row r="101" spans="2:7" ht="15" hidden="1">
      <c r="B101" s="219" t="s">
        <v>2371</v>
      </c>
      <c r="D101" s="264" t="str">
        <f>IF(AND(OR($D$27="Yes",$D$27=""),OR($D$33="Yes",$D$33="")),"Unknown","")</f>
        <v>Unknown</v>
      </c>
      <c r="E101" s="264" t="str">
        <f>IF(AND(OR($D$26="Yes",$D$26=""),OR($D$32="Yes",$D$32="")),"None","")</f>
        <v/>
      </c>
      <c r="G101" s="264" t="str">
        <f>IF(OR($D$28="Yes",$D$28=""),"No","")</f>
        <v>No</v>
      </c>
    </row>
    <row r="102" spans="2:7" ht="15" hidden="1">
      <c r="B102" s="219" t="s">
        <v>2372</v>
      </c>
      <c r="D102" s="264" t="str">
        <f>IF(AND(OR($D$28="Yes",$D$28=""),OR($D$34="Yes",$D$34="")),"Yes","")</f>
        <v>Yes</v>
      </c>
      <c r="E102" s="264" t="str">
        <f>IF(AND(OR($D$27="Yes",$D$27=""),OR($D$33="Yes",$D$33="")),"100%","")</f>
        <v>100%</v>
      </c>
      <c r="G102" s="264" t="str">
        <f>IF(OR($D$29="Yes",$D$29=""),"Yes","")</f>
        <v>Yes</v>
      </c>
    </row>
    <row r="103" spans="2:7" ht="15" hidden="1">
      <c r="B103" s="219" t="s">
        <v>2373</v>
      </c>
      <c r="D103" s="264" t="str">
        <f>IF(AND(OR($D$28="Yes",$D$28=""),OR($D$34="Yes",$D$34="")),"No","")</f>
        <v>No</v>
      </c>
      <c r="E103" s="264" t="str">
        <f>IF(AND(OR($D$27="Yes",$D$27=""),OR($D$33="Yes",$D$33="")),"Greater than 90%","")</f>
        <v>Greater than 90%</v>
      </c>
      <c r="G103" s="264" t="str">
        <f>IF(OR($D$29="Yes",$D$29=""),"No","")</f>
        <v>No</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Yes</v>
      </c>
      <c r="E105" s="264" t="str">
        <f>IF(AND(OR($D$27="Yes",$D$27=""),OR($D$33="Yes",$D$33="")),"Greater than 50%","")</f>
        <v>Greater than 50%</v>
      </c>
    </row>
    <row r="106" spans="2:7" ht="15" hidden="1">
      <c r="B106" s="219" t="s">
        <v>11949</v>
      </c>
      <c r="D106" s="264" t="str">
        <f>IF(AND(OR($D$29="Yes",$D$29=""),OR($D$35="Yes",$D$35="")),"No","")</f>
        <v>No</v>
      </c>
      <c r="E106" s="264" t="str">
        <f>IF(AND(OR($D$27="Yes",$D$27=""),OR($D$33="Yes",$D$33="")),"50% or less","")</f>
        <v>50% or less</v>
      </c>
    </row>
    <row r="107" spans="2:7" ht="15" hidden="1">
      <c r="B107" s="219" t="s">
        <v>474</v>
      </c>
      <c r="D107" s="264" t="str">
        <f>IF(AND(OR($D$29="Yes",$D$29=""),OR($D$35="Yes",$D$35="")),"Unknown","")</f>
        <v>Unknown</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15" zoomScaleNormal="100" zoomScalePageLayoutView="55" workbookViewId="0">
      <selection activeCell="A5" sqref="A5:J37"/>
    </sheetView>
  </sheetViews>
  <sheetFormatPr defaultColWidth="8.84375" defaultRowHeight="13.5"/>
  <cols>
    <col min="1" max="1" width="13.61328125" style="210" customWidth="1"/>
    <col min="2" max="2" width="13.3828125" style="212" customWidth="1"/>
    <col min="3" max="3" width="40.61328125" style="212" customWidth="1"/>
    <col min="4" max="4" width="30.61328125" style="212" customWidth="1"/>
    <col min="5" max="5" width="20.84375" style="212" customWidth="1"/>
    <col min="6" max="7" width="13.84375" style="212" customWidth="1"/>
    <col min="8" max="8" width="25.15234375" style="212" customWidth="1"/>
    <col min="9" max="9" width="24.15234375" style="212" customWidth="1"/>
    <col min="10" max="10" width="18.3828125" style="212" customWidth="1"/>
    <col min="11" max="11" width="27.3828125" style="212" customWidth="1"/>
    <col min="12" max="12" width="20.61328125" style="212" customWidth="1"/>
    <col min="13" max="13" width="35.15234375" style="212" customWidth="1"/>
    <col min="14" max="14" width="42.15234375" style="212" customWidth="1"/>
    <col min="15" max="15" width="32.15234375" style="212" customWidth="1"/>
    <col min="16" max="16" width="22.84375" style="212" customWidth="1"/>
    <col min="17" max="17" width="43.61328125" style="212" customWidth="1"/>
    <col min="18" max="18" width="35.84375" style="212" hidden="1" customWidth="1"/>
    <col min="19" max="20" width="17.84375" style="212" hidden="1" customWidth="1"/>
    <col min="21" max="21" width="8.84375" style="212" hidden="1" customWidth="1"/>
    <col min="22" max="22" width="6.15234375" style="212" hidden="1" customWidth="1"/>
    <col min="23" max="23" width="8.61328125" style="212" hidden="1" customWidth="1"/>
    <col min="24" max="24" width="8.84375" style="212" hidden="1" customWidth="1"/>
    <col min="25" max="27" width="4.3828125" style="212" hidden="1" customWidth="1"/>
    <col min="28" max="28" width="7.84375" style="212" hidden="1" customWidth="1"/>
    <col min="29" max="33" width="4.3828125" style="212" hidden="1" customWidth="1"/>
    <col min="34" max="34" width="14.61328125" style="212" hidden="1" customWidth="1"/>
    <col min="35" max="39" width="8.84375" style="212" customWidth="1"/>
    <col min="40" max="16384" width="8.8437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49999999999999" customHeight="1">
      <c r="A5" s="245" t="s">
        <v>658</v>
      </c>
      <c r="B5" s="166" t="s">
        <v>1087</v>
      </c>
      <c r="C5" s="170" t="s">
        <v>1182</v>
      </c>
      <c r="D5" s="213"/>
      <c r="E5" s="166" t="s">
        <v>1066</v>
      </c>
      <c r="F5" s="166" t="s">
        <v>658</v>
      </c>
      <c r="G5" s="166" t="s">
        <v>12764</v>
      </c>
      <c r="H5" s="167">
        <v>0</v>
      </c>
      <c r="I5" s="168" t="s">
        <v>1541</v>
      </c>
      <c r="J5" s="168" t="s">
        <v>1532</v>
      </c>
      <c r="K5" s="207"/>
      <c r="L5" s="207"/>
      <c r="M5" s="207"/>
      <c r="N5" s="207"/>
      <c r="O5" s="207"/>
      <c r="P5" s="169"/>
      <c r="Q5" s="208"/>
      <c r="R5" s="166" t="str">
        <f ca="1">IF(ISERROR($V5),"",OFFSET('Smelter Look-up'!$C$4,$V5-4,0)&amp;"")</f>
        <v>Ishifuku Metal Industry Co., Ltd.</v>
      </c>
      <c r="S5" s="165" t="str">
        <f ca="1">IF(B5="","",IF(ISERROR(MATCH($E5,CL,0)),"Unknown",INDIRECT("'C'!$A$"&amp;MATCH($E5,CL,0)+1)))</f>
        <v>JP</v>
      </c>
      <c r="T5" s="165" t="str">
        <f ca="1">IF(B5="","",IF(ISERROR(MATCH($J5,SorP!$B$1:$B$6261,0)),"",INDIRECT("'SorP'!$A$"&amp;MATCH($S5&amp;$J5,SorP!C:C,0))))</f>
        <v>JP-11</v>
      </c>
      <c r="U5" s="185"/>
      <c r="V5" s="209">
        <f>IF(C5="",NA(),IF(OR(C5="Smelter not listed",C5="Smelter not yet identified"),MATCH($B5&amp;$D5,'Smelter Look-up'!$J:$J,0),MATCH($B5&amp;$C5,'Smelter Look-up'!$J:$J,0)))</f>
        <v>137</v>
      </c>
      <c r="X5" s="210">
        <f t="shared" ref="X5" si="0">IF(AND(C5="Smelter not listed",OR(LEN(D5)=0,LEN(E5)=0)),1,0)</f>
        <v>0</v>
      </c>
      <c r="AB5" s="211" t="str">
        <f t="shared" ref="AB5" si="1">B5&amp;C5</f>
        <v>GoldIshifuku Metal Industry Co., Ltd.</v>
      </c>
    </row>
    <row r="6" spans="1:34" s="210" customFormat="1" ht="20.149999999999999" customHeight="1">
      <c r="A6" s="245" t="s">
        <v>666</v>
      </c>
      <c r="B6" s="166" t="s">
        <v>1087</v>
      </c>
      <c r="C6" s="170" t="s">
        <v>52</v>
      </c>
      <c r="D6" s="213"/>
      <c r="E6" s="166" t="s">
        <v>1066</v>
      </c>
      <c r="F6" s="166" t="s">
        <v>666</v>
      </c>
      <c r="G6" s="166" t="s">
        <v>12764</v>
      </c>
      <c r="H6" s="167">
        <v>0</v>
      </c>
      <c r="I6" s="168" t="s">
        <v>15889</v>
      </c>
      <c r="J6" s="168" t="s">
        <v>6490</v>
      </c>
      <c r="K6" s="207"/>
      <c r="L6" s="207"/>
      <c r="M6" s="207"/>
      <c r="N6" s="207"/>
      <c r="O6" s="207"/>
      <c r="P6" s="169"/>
      <c r="Q6" s="208"/>
      <c r="R6" s="166" t="str">
        <f ca="1">IF(ISERROR($V6),"",OFFSET('Smelter Look-up'!$C$4,$V6-4,0)&amp;"")</f>
        <v>JX Advanced Metals Corporation</v>
      </c>
      <c r="S6" s="165" t="str">
        <f t="shared" ref="S6:S37" ca="1" si="2">IF(B6="","",IF(ISERROR(MATCH($E6,CL,0)),"Unknown",INDIRECT("'C'!$A$"&amp;MATCH($E6,CL,0)+1)))</f>
        <v>JP</v>
      </c>
      <c r="T6" s="165" t="str">
        <f ca="1">IF(B6="","",IF(ISERROR(MATCH($J6,SorP!$B$1:$B$6261,0)),"",INDIRECT("'SorP'!$A$"&amp;MATCH($S6&amp;$J6,SorP!C:C,0))))</f>
        <v>JP-44</v>
      </c>
      <c r="U6" s="185"/>
      <c r="V6" s="209">
        <f>IF(C6="",NA(),IF(OR(C6="Smelter not listed",C6="Smelter not yet identified"),MATCH($B6&amp;$D6,'Smelter Look-up'!$J:$J,0),MATCH($B6&amp;$C6,'Smelter Look-up'!$J:$J,0)))</f>
        <v>152</v>
      </c>
      <c r="X6" s="210">
        <f t="shared" ref="X6:X37" si="3">IF(AND(C6="Smelter not listed",OR(LEN(D6)=0,LEN(E6)=0)),1,0)</f>
        <v>0</v>
      </c>
      <c r="AB6" s="211" t="str">
        <f t="shared" ref="AB6:AB37" si="4">B6&amp;C6</f>
        <v>GoldJX Nippon Mining &amp; Metals Co., Ltd.</v>
      </c>
    </row>
    <row r="7" spans="1:34" s="210" customFormat="1" ht="20.149999999999999" customHeight="1">
      <c r="A7" s="245" t="s">
        <v>704</v>
      </c>
      <c r="B7" s="166" t="s">
        <v>1087</v>
      </c>
      <c r="C7" s="170" t="s">
        <v>1187</v>
      </c>
      <c r="D7" s="213"/>
      <c r="E7" s="166" t="s">
        <v>1066</v>
      </c>
      <c r="F7" s="166" t="s">
        <v>704</v>
      </c>
      <c r="G7" s="166" t="s">
        <v>12764</v>
      </c>
      <c r="H7" s="167">
        <v>0</v>
      </c>
      <c r="I7" s="168" t="s">
        <v>15890</v>
      </c>
      <c r="J7" s="168" t="s">
        <v>1601</v>
      </c>
      <c r="K7" s="207"/>
      <c r="L7" s="207"/>
      <c r="M7" s="207"/>
      <c r="N7" s="207"/>
      <c r="O7" s="207"/>
      <c r="P7" s="169"/>
      <c r="Q7" s="208"/>
      <c r="R7" s="166" t="str">
        <f ca="1">IF(ISERROR($V7),"",OFFSET('Smelter Look-up'!$C$4,$V7-4,0)&amp;"")</f>
        <v>Tanaka Kikinzoku Kogyo K.K.</v>
      </c>
      <c r="S7" s="165" t="str">
        <f t="shared" ca="1" si="2"/>
        <v>JP</v>
      </c>
      <c r="T7" s="165" t="str">
        <f ca="1">IF(B7="","",IF(ISERROR(MATCH($J7,SorP!$B$1:$B$6261,0)),"",INDIRECT("'SorP'!$A$"&amp;MATCH($S7&amp;$J7,SorP!C:C,0))))</f>
        <v>JP-14</v>
      </c>
      <c r="U7" s="185"/>
      <c r="V7" s="209">
        <f>IF(C7="",NA(),IF(OR(C7="Smelter not listed",C7="Smelter not yet identified"),MATCH($B7&amp;$D7,'Smelter Look-up'!$J:$J,0),MATCH($B7&amp;$C7,'Smelter Look-up'!$J:$J,0)))</f>
        <v>303</v>
      </c>
      <c r="X7" s="210">
        <f t="shared" si="3"/>
        <v>0</v>
      </c>
      <c r="AB7" s="211" t="str">
        <f t="shared" si="4"/>
        <v>GoldTanaka Kikinzoku Kogyo K.K.</v>
      </c>
    </row>
    <row r="8" spans="1:34" s="210" customFormat="1" ht="20.149999999999999" customHeight="1">
      <c r="A8" s="245" t="s">
        <v>683</v>
      </c>
      <c r="B8" s="166" t="s">
        <v>1087</v>
      </c>
      <c r="C8" s="170" t="s">
        <v>1184</v>
      </c>
      <c r="D8" s="213"/>
      <c r="E8" s="166" t="s">
        <v>1066</v>
      </c>
      <c r="F8" s="166" t="s">
        <v>683</v>
      </c>
      <c r="G8" s="166" t="s">
        <v>12764</v>
      </c>
      <c r="H8" s="167">
        <v>0</v>
      </c>
      <c r="I8" s="168" t="s">
        <v>1569</v>
      </c>
      <c r="J8" s="168" t="s">
        <v>1568</v>
      </c>
      <c r="K8" s="207"/>
      <c r="L8" s="207"/>
      <c r="M8" s="207"/>
      <c r="N8" s="207"/>
      <c r="O8" s="207"/>
      <c r="P8" s="169"/>
      <c r="Q8" s="208"/>
      <c r="R8" s="166" t="str">
        <f ca="1">IF(ISERROR($V8),"",OFFSET('Smelter Look-up'!$C$4,$V8-4,0)&amp;"")</f>
        <v>Mitsui Mining and Smelting Co., Ltd.</v>
      </c>
      <c r="S8" s="165" t="str">
        <f t="shared" ca="1" si="2"/>
        <v>JP</v>
      </c>
      <c r="T8" s="165" t="str">
        <f ca="1">IF(B8="","",IF(ISERROR(MATCH($J8,SorP!$B$1:$B$6261,0)),"",INDIRECT("'SorP'!$A$"&amp;MATCH($S8&amp;$J8,SorP!C:C,0))))</f>
        <v>JP-34</v>
      </c>
      <c r="U8" s="185"/>
      <c r="V8" s="209">
        <f>IF(C8="",NA(),IF(OR(C8="Smelter not listed",C8="Smelter not yet identified"),MATCH($B8&amp;$D8,'Smelter Look-up'!$J:$J,0),MATCH($B8&amp;$C8,'Smelter Look-up'!$J:$J,0)))</f>
        <v>206</v>
      </c>
      <c r="X8" s="210">
        <f t="shared" si="3"/>
        <v>0</v>
      </c>
      <c r="AB8" s="211" t="str">
        <f t="shared" si="4"/>
        <v>GoldMitsui Mining and Smelting Co., Ltd.</v>
      </c>
    </row>
    <row r="9" spans="1:34" s="210" customFormat="1" ht="20.149999999999999" customHeight="1">
      <c r="A9" s="245" t="s">
        <v>703</v>
      </c>
      <c r="B9" s="166" t="s">
        <v>1087</v>
      </c>
      <c r="C9" s="170" t="s">
        <v>54</v>
      </c>
      <c r="D9" s="213"/>
      <c r="E9" s="166" t="s">
        <v>1066</v>
      </c>
      <c r="F9" s="166" t="s">
        <v>703</v>
      </c>
      <c r="G9" s="166" t="s">
        <v>12764</v>
      </c>
      <c r="H9" s="167">
        <v>0</v>
      </c>
      <c r="I9" s="168" t="s">
        <v>15891</v>
      </c>
      <c r="J9" s="168" t="s">
        <v>2118</v>
      </c>
      <c r="K9" s="207"/>
      <c r="L9" s="207"/>
      <c r="M9" s="207"/>
      <c r="N9" s="207"/>
      <c r="O9" s="207"/>
      <c r="P9" s="169"/>
      <c r="Q9" s="208"/>
      <c r="R9" s="166" t="str">
        <f ca="1">IF(ISERROR($V9),"",OFFSET('Smelter Look-up'!$C$4,$V9-4,0)&amp;"")</f>
        <v>Sumitomo Metal Mining Co., Ltd.</v>
      </c>
      <c r="S9" s="165" t="str">
        <f t="shared" ca="1" si="2"/>
        <v>JP</v>
      </c>
      <c r="T9" s="165" t="str">
        <f ca="1">IF(B9="","",IF(ISERROR(MATCH($J9,SorP!$B$1:$B$6261,0)),"",INDIRECT("'SorP'!$A$"&amp;MATCH($S9&amp;$J9,SorP!C:C,0))))</f>
        <v>JP-38</v>
      </c>
      <c r="U9" s="185"/>
      <c r="V9" s="209">
        <f>IF(C9="",NA(),IF(OR(C9="Smelter not listed",C9="Smelter not yet identified"),MATCH($B9&amp;$D9,'Smelter Look-up'!$J:$J,0),MATCH($B9&amp;$C9,'Smelter Look-up'!$J:$J,0)))</f>
        <v>290</v>
      </c>
      <c r="X9" s="210">
        <f t="shared" si="3"/>
        <v>0</v>
      </c>
      <c r="AB9" s="211" t="str">
        <f t="shared" si="4"/>
        <v>GoldSumitomo Metal Mining Co., Ltd.</v>
      </c>
    </row>
    <row r="10" spans="1:34" s="210" customFormat="1" ht="20.149999999999999" customHeight="1">
      <c r="A10" s="245" t="s">
        <v>766</v>
      </c>
      <c r="B10" s="166" t="s">
        <v>1090</v>
      </c>
      <c r="C10" s="170" t="s">
        <v>1336</v>
      </c>
      <c r="D10" s="213"/>
      <c r="E10" s="166" t="s">
        <v>1058</v>
      </c>
      <c r="F10" s="166" t="s">
        <v>766</v>
      </c>
      <c r="G10" s="166" t="s">
        <v>12764</v>
      </c>
      <c r="H10" s="167">
        <v>0</v>
      </c>
      <c r="I10" s="168" t="s">
        <v>1744</v>
      </c>
      <c r="J10" s="168" t="s">
        <v>13116</v>
      </c>
      <c r="K10" s="207"/>
      <c r="L10" s="207"/>
      <c r="M10" s="207"/>
      <c r="N10" s="207"/>
      <c r="O10" s="207"/>
      <c r="P10" s="169"/>
      <c r="Q10" s="208"/>
      <c r="R10" s="166" t="str">
        <f ca="1">IF(ISERROR($V10),"",OFFSET('Smelter Look-up'!$C$4,$V10-4,0)&amp;"")</f>
        <v>Xiamen Tungsten Co., Ltd.</v>
      </c>
      <c r="S10" s="165" t="str">
        <f t="shared" ca="1" si="2"/>
        <v>CN</v>
      </c>
      <c r="T10" s="165" t="str">
        <f ca="1">IF(B10="","",IF(ISERROR(MATCH($J10,SorP!$B$1:$B$6261,0)),"",INDIRECT("'SorP'!$A$"&amp;MATCH($S10&amp;$J10,SorP!C:C,0))))</f>
        <v>CN-FJ</v>
      </c>
      <c r="U10" s="185"/>
      <c r="V10" s="209">
        <f>IF(C10="",NA(),IF(OR(C10="Smelter not listed",C10="Smelter not yet identified"),MATCH($B10&amp;$D10,'Smelter Look-up'!$J:$J,0),MATCH($B10&amp;$C10,'Smelter Look-up'!$J:$J,0)))</f>
        <v>650</v>
      </c>
      <c r="X10" s="210">
        <f t="shared" si="3"/>
        <v>0</v>
      </c>
      <c r="AB10" s="211" t="str">
        <f t="shared" si="4"/>
        <v>TungstenXiamen Tungsten Co., Ltd.</v>
      </c>
    </row>
    <row r="11" spans="1:34" s="210" customFormat="1" ht="20.149999999999999" customHeight="1">
      <c r="A11" s="245" t="s">
        <v>134</v>
      </c>
      <c r="B11" s="166" t="s">
        <v>1090</v>
      </c>
      <c r="C11" s="170" t="s">
        <v>143</v>
      </c>
      <c r="D11" s="213"/>
      <c r="E11" s="166" t="s">
        <v>1058</v>
      </c>
      <c r="F11" s="166" t="s">
        <v>134</v>
      </c>
      <c r="G11" s="166" t="s">
        <v>12764</v>
      </c>
      <c r="H11" s="167">
        <v>0</v>
      </c>
      <c r="I11" s="168" t="s">
        <v>1692</v>
      </c>
      <c r="J11" s="168" t="s">
        <v>13117</v>
      </c>
      <c r="K11" s="207"/>
      <c r="L11" s="207"/>
      <c r="M11" s="207"/>
      <c r="N11" s="207"/>
      <c r="O11" s="207"/>
      <c r="P11" s="169"/>
      <c r="Q11" s="208"/>
      <c r="R11" s="166" t="str">
        <f ca="1">IF(ISERROR($V11),"",OFFSET('Smelter Look-up'!$C$4,$V11-4,0)&amp;"")</f>
        <v>Jiangxi Xinsheng Tungsten Industry Co., Ltd.</v>
      </c>
      <c r="S11" s="165" t="str">
        <f t="shared" ca="1" si="2"/>
        <v>CN</v>
      </c>
      <c r="T11" s="165" t="str">
        <f ca="1">IF(B11="","",IF(ISERROR(MATCH($J11,SorP!$B$1:$B$6261,0)),"",INDIRECT("'SorP'!$A$"&amp;MATCH($S11&amp;$J11,SorP!C:C,0))))</f>
        <v>CN-JX</v>
      </c>
      <c r="U11" s="185"/>
      <c r="V11" s="209">
        <f>IF(C11="",NA(),IF(OR(C11="Smelter not listed",C11="Smelter not yet identified"),MATCH($B11&amp;$D11,'Smelter Look-up'!$J:$J,0),MATCH($B11&amp;$C11,'Smelter Look-up'!$J:$J,0)))</f>
        <v>612</v>
      </c>
      <c r="X11" s="210">
        <f t="shared" si="3"/>
        <v>0</v>
      </c>
      <c r="AB11" s="211" t="str">
        <f t="shared" si="4"/>
        <v>TungstenJiangxi Xinsheng Tungsten Industry Co., Ltd.</v>
      </c>
    </row>
    <row r="12" spans="1:34" s="210" customFormat="1" ht="20.149999999999999" customHeight="1">
      <c r="A12" s="245" t="s">
        <v>15892</v>
      </c>
      <c r="B12" s="166" t="s">
        <v>1090</v>
      </c>
      <c r="C12" s="170" t="s">
        <v>15893</v>
      </c>
      <c r="D12" s="213"/>
      <c r="E12" s="166" t="s">
        <v>1058</v>
      </c>
      <c r="F12" s="166" t="s">
        <v>15892</v>
      </c>
      <c r="G12" s="166" t="s">
        <v>12764</v>
      </c>
      <c r="H12" s="167">
        <v>0</v>
      </c>
      <c r="I12" s="168" t="s">
        <v>1692</v>
      </c>
      <c r="J12" s="168" t="s">
        <v>13117</v>
      </c>
      <c r="K12" s="207"/>
      <c r="L12" s="207"/>
      <c r="M12" s="207"/>
      <c r="N12" s="207"/>
      <c r="O12" s="207"/>
      <c r="P12" s="169"/>
      <c r="Q12" s="208"/>
      <c r="R12" s="166" t="str">
        <f ca="1">IF(ISERROR($V12),"",OFFSET('Smelter Look-up'!$C$4,$V12-4,0)&amp;"")</f>
        <v/>
      </c>
      <c r="S12" s="165" t="str">
        <f t="shared" ca="1" si="2"/>
        <v>CN</v>
      </c>
      <c r="T12" s="165" t="str">
        <f ca="1">IF(B12="","",IF(ISERROR(MATCH($J12,SorP!$B$1:$B$6261,0)),"",INDIRECT("'SorP'!$A$"&amp;MATCH($S12&amp;$J12,SorP!C:C,0))))</f>
        <v>CN-JX</v>
      </c>
      <c r="U12" s="185"/>
      <c r="V12" s="209" t="e">
        <f>IF(C12="",NA(),IF(OR(C12="Smelter not listed",C12="Smelter not yet identified"),MATCH($B12&amp;$D12,'Smelter Look-up'!$J:$J,0),MATCH($B12&amp;$C12,'Smelter Look-up'!$J:$J,0)))</f>
        <v>#N/A</v>
      </c>
      <c r="X12" s="210">
        <f t="shared" si="3"/>
        <v>0</v>
      </c>
      <c r="AB12" s="211" t="str">
        <f t="shared" si="4"/>
        <v>TungstenGanzhou Huaxing Tungsten Products Co., Ltd.</v>
      </c>
    </row>
    <row r="13" spans="1:34" s="210" customFormat="1" ht="20.149999999999999" customHeight="1">
      <c r="A13" s="245" t="s">
        <v>760</v>
      </c>
      <c r="B13" s="166" t="s">
        <v>1090</v>
      </c>
      <c r="C13" s="170" t="s">
        <v>1332</v>
      </c>
      <c r="D13" s="213"/>
      <c r="E13" s="166" t="s">
        <v>1058</v>
      </c>
      <c r="F13" s="166" t="s">
        <v>760</v>
      </c>
      <c r="G13" s="166" t="s">
        <v>12764</v>
      </c>
      <c r="H13" s="167">
        <v>0</v>
      </c>
      <c r="I13" s="168" t="s">
        <v>1692</v>
      </c>
      <c r="J13" s="168" t="s">
        <v>13117</v>
      </c>
      <c r="K13" s="207"/>
      <c r="L13" s="207"/>
      <c r="M13" s="207"/>
      <c r="N13" s="207"/>
      <c r="O13" s="207"/>
      <c r="P13" s="169"/>
      <c r="Q13" s="208"/>
      <c r="R13" s="166" t="str">
        <f ca="1">IF(ISERROR($V13),"",OFFSET('Smelter Look-up'!$C$4,$V13-4,0)&amp;"")</f>
        <v>Chongyi Zhangyuan Tungsten Co., Ltd.</v>
      </c>
      <c r="S13" s="165" t="str">
        <f t="shared" ca="1" si="2"/>
        <v>CN</v>
      </c>
      <c r="T13" s="165" t="str">
        <f ca="1">IF(B13="","",IF(ISERROR(MATCH($J13,SorP!$B$1:$B$6261,0)),"",INDIRECT("'SorP'!$A$"&amp;MATCH($S13&amp;$J13,SorP!C:C,0))))</f>
        <v>CN-JX</v>
      </c>
      <c r="U13" s="185"/>
      <c r="V13" s="209">
        <f>IF(C13="",NA(),IF(OR(C13="Smelter not listed",C13="Smelter not yet identified"),MATCH($B13&amp;$D13,'Smelter Look-up'!$J:$J,0),MATCH($B13&amp;$C13,'Smelter Look-up'!$J:$J,0)))</f>
        <v>588</v>
      </c>
      <c r="X13" s="210">
        <f t="shared" si="3"/>
        <v>0</v>
      </c>
      <c r="AB13" s="211" t="str">
        <f t="shared" si="4"/>
        <v>TungstenChongyi Zhangyuan Tungsten Co., Ltd.</v>
      </c>
    </row>
    <row r="14" spans="1:34" s="210" customFormat="1" ht="20.149999999999999" customHeight="1">
      <c r="A14" s="245" t="s">
        <v>15892</v>
      </c>
      <c r="B14" s="166" t="s">
        <v>1090</v>
      </c>
      <c r="C14" s="170" t="s">
        <v>15893</v>
      </c>
      <c r="D14" s="213"/>
      <c r="E14" s="166" t="s">
        <v>1058</v>
      </c>
      <c r="F14" s="166" t="s">
        <v>15892</v>
      </c>
      <c r="G14" s="166" t="s">
        <v>12764</v>
      </c>
      <c r="H14" s="167">
        <v>0</v>
      </c>
      <c r="I14" s="168" t="s">
        <v>1692</v>
      </c>
      <c r="J14" s="168" t="s">
        <v>13117</v>
      </c>
      <c r="K14" s="207"/>
      <c r="L14" s="207"/>
      <c r="M14" s="207"/>
      <c r="N14" s="207"/>
      <c r="O14" s="207"/>
      <c r="P14" s="169"/>
      <c r="Q14" s="208"/>
      <c r="R14" s="166" t="str">
        <f ca="1">IF(ISERROR($V14),"",OFFSET('Smelter Look-up'!$C$4,$V14-4,0)&amp;"")</f>
        <v/>
      </c>
      <c r="S14" s="165" t="str">
        <f t="shared" ca="1" si="2"/>
        <v>CN</v>
      </c>
      <c r="T14" s="165" t="str">
        <f ca="1">IF(B14="","",IF(ISERROR(MATCH($J14,SorP!$B$1:$B$6261,0)),"",INDIRECT("'SorP'!$A$"&amp;MATCH($S14&amp;$J14,SorP!C:C,0))))</f>
        <v>CN-JX</v>
      </c>
      <c r="U14" s="185"/>
      <c r="V14" s="209" t="e">
        <f>IF(C14="",NA(),IF(OR(C14="Smelter not listed",C14="Smelter not yet identified"),MATCH($B14&amp;$D14,'Smelter Look-up'!$J:$J,0),MATCH($B14&amp;$C14,'Smelter Look-up'!$J:$J,0)))</f>
        <v>#N/A</v>
      </c>
      <c r="X14" s="210">
        <f t="shared" si="3"/>
        <v>0</v>
      </c>
      <c r="AB14" s="211" t="str">
        <f t="shared" si="4"/>
        <v>TungstenGanzhou Huaxing Tungsten Products Co., Ltd.</v>
      </c>
    </row>
    <row r="15" spans="1:34" s="210" customFormat="1" ht="20.149999999999999" customHeight="1">
      <c r="A15" s="245" t="s">
        <v>15894</v>
      </c>
      <c r="B15" s="166" t="s">
        <v>1088</v>
      </c>
      <c r="C15" s="170" t="s">
        <v>15895</v>
      </c>
      <c r="D15" s="213"/>
      <c r="E15" s="166" t="s">
        <v>1073</v>
      </c>
      <c r="F15" s="166" t="s">
        <v>15894</v>
      </c>
      <c r="G15" s="166" t="s">
        <v>12764</v>
      </c>
      <c r="H15" s="167">
        <v>0</v>
      </c>
      <c r="I15" s="168" t="s">
        <v>15896</v>
      </c>
      <c r="J15" s="168" t="s">
        <v>8321</v>
      </c>
      <c r="K15" s="207"/>
      <c r="L15" s="207"/>
      <c r="M15" s="207"/>
      <c r="N15" s="207"/>
      <c r="O15" s="207"/>
      <c r="P15" s="169"/>
      <c r="Q15" s="208"/>
      <c r="R15" s="166" t="str">
        <f ca="1">IF(ISERROR($V15),"",OFFSET('Smelter Look-up'!$C$4,$V15-4,0)&amp;"")</f>
        <v/>
      </c>
      <c r="S15" s="165" t="str">
        <f t="shared" ca="1" si="2"/>
        <v>MY</v>
      </c>
      <c r="T15" s="165" t="str">
        <f ca="1">IF(B15="","",IF(ISERROR(MATCH($J15,SorP!$B$1:$B$6261,0)),"",INDIRECT("'SorP'!$A$"&amp;MATCH($S15&amp;$J15,SorP!C:C,0))))</f>
        <v>MY-07</v>
      </c>
      <c r="U15" s="185"/>
      <c r="V15" s="209" t="e">
        <f>IF(C15="",NA(),IF(OR(C15="Smelter not listed",C15="Smelter not yet identified"),MATCH($B15&amp;$D15,'Smelter Look-up'!$J:$J,0),MATCH($B15&amp;$C15,'Smelter Look-up'!$J:$J,0)))</f>
        <v>#N/A</v>
      </c>
      <c r="X15" s="210">
        <f t="shared" si="3"/>
        <v>0</v>
      </c>
      <c r="AB15" s="211" t="str">
        <f t="shared" si="4"/>
        <v>TinMalaysia Smelting Corporation (MSC)</v>
      </c>
    </row>
    <row r="16" spans="1:34" s="210" customFormat="1" ht="20.149999999999999" customHeight="1">
      <c r="A16" s="245" t="s">
        <v>635</v>
      </c>
      <c r="B16" s="166" t="s">
        <v>1087</v>
      </c>
      <c r="C16" s="170" t="s">
        <v>2182</v>
      </c>
      <c r="D16" s="213"/>
      <c r="E16" s="166" t="s">
        <v>1066</v>
      </c>
      <c r="F16" s="166" t="s">
        <v>635</v>
      </c>
      <c r="G16" s="166" t="s">
        <v>12764</v>
      </c>
      <c r="H16" s="167">
        <v>0</v>
      </c>
      <c r="I16" s="168" t="s">
        <v>15897</v>
      </c>
      <c r="J16" s="168" t="s">
        <v>1506</v>
      </c>
      <c r="K16" s="207"/>
      <c r="L16" s="207"/>
      <c r="M16" s="207"/>
      <c r="N16" s="207"/>
      <c r="O16" s="207"/>
      <c r="P16" s="169"/>
      <c r="Q16" s="208"/>
      <c r="R16" s="166" t="str">
        <f ca="1">IF(ISERROR($V16),"",OFFSET('Smelter Look-up'!$C$4,$V16-4,0)&amp;"")</f>
        <v>ASAHI METALFINE, Inc.</v>
      </c>
      <c r="S16" s="165" t="str">
        <f t="shared" ca="1" si="2"/>
        <v>JP</v>
      </c>
      <c r="T16" s="165" t="str">
        <f ca="1">IF(B16="","",IF(ISERROR(MATCH($J16,SorP!$B$1:$B$6261,0)),"",INDIRECT("'SorP'!$A$"&amp;MATCH($S16&amp;$J16,SorP!C:C,0))))</f>
        <v>JP-28</v>
      </c>
      <c r="U16" s="185"/>
      <c r="V16" s="209">
        <f>IF(C16="",NA(),IF(OR(C16="Smelter not listed",C16="Smelter not yet identified"),MATCH($B16&amp;$D16,'Smelter Look-up'!$J:$J,0),MATCH($B16&amp;$C16,'Smelter Look-up'!$J:$J,0)))</f>
        <v>33</v>
      </c>
      <c r="X16" s="210">
        <f t="shared" si="3"/>
        <v>0</v>
      </c>
      <c r="AB16" s="211" t="str">
        <f t="shared" si="4"/>
        <v>GoldAsahi Pretec Corp.</v>
      </c>
    </row>
    <row r="17" spans="1:28" s="210" customFormat="1" ht="20.149999999999999" customHeight="1">
      <c r="A17" s="245" t="s">
        <v>658</v>
      </c>
      <c r="B17" s="166" t="s">
        <v>1087</v>
      </c>
      <c r="C17" s="170" t="s">
        <v>1182</v>
      </c>
      <c r="D17" s="213"/>
      <c r="E17" s="166" t="s">
        <v>1066</v>
      </c>
      <c r="F17" s="166" t="s">
        <v>658</v>
      </c>
      <c r="G17" s="166" t="s">
        <v>12764</v>
      </c>
      <c r="H17" s="167">
        <v>0</v>
      </c>
      <c r="I17" s="168" t="s">
        <v>1541</v>
      </c>
      <c r="J17" s="168" t="s">
        <v>1532</v>
      </c>
      <c r="K17" s="207"/>
      <c r="L17" s="207"/>
      <c r="M17" s="207"/>
      <c r="N17" s="207"/>
      <c r="O17" s="207"/>
      <c r="P17" s="169"/>
      <c r="Q17" s="208"/>
      <c r="R17" s="166" t="str">
        <f ca="1">IF(ISERROR($V17),"",OFFSET('Smelter Look-up'!$C$4,$V17-4,0)&amp;"")</f>
        <v>Ishifuku Metal Industry Co., Ltd.</v>
      </c>
      <c r="S17" s="165" t="str">
        <f t="shared" ca="1" si="2"/>
        <v>JP</v>
      </c>
      <c r="T17" s="165" t="str">
        <f ca="1">IF(B17="","",IF(ISERROR(MATCH($J17,SorP!$B$1:$B$6261,0)),"",INDIRECT("'SorP'!$A$"&amp;MATCH($S17&amp;$J17,SorP!C:C,0))))</f>
        <v>JP-11</v>
      </c>
      <c r="U17" s="185"/>
      <c r="V17" s="209">
        <f>IF(C17="",NA(),IF(OR(C17="Smelter not listed",C17="Smelter not yet identified"),MATCH($B17&amp;$D17,'Smelter Look-up'!$J:$J,0),MATCH($B17&amp;$C17,'Smelter Look-up'!$J:$J,0)))</f>
        <v>137</v>
      </c>
      <c r="X17" s="210">
        <f t="shared" si="3"/>
        <v>0</v>
      </c>
      <c r="AB17" s="211" t="str">
        <f t="shared" si="4"/>
        <v>GoldIshifuku Metal Industry Co., Ltd.</v>
      </c>
    </row>
    <row r="18" spans="1:28" s="210" customFormat="1" ht="20.149999999999999" customHeight="1">
      <c r="A18" s="165" t="s">
        <v>666</v>
      </c>
      <c r="B18" s="166" t="s">
        <v>1087</v>
      </c>
      <c r="C18" s="170" t="s">
        <v>52</v>
      </c>
      <c r="D18" s="213"/>
      <c r="E18" s="166" t="s">
        <v>1066</v>
      </c>
      <c r="F18" s="166" t="s">
        <v>666</v>
      </c>
      <c r="G18" s="166" t="s">
        <v>12764</v>
      </c>
      <c r="H18" s="167">
        <v>0</v>
      </c>
      <c r="I18" s="168" t="s">
        <v>15889</v>
      </c>
      <c r="J18" s="168" t="s">
        <v>6490</v>
      </c>
      <c r="K18" s="207"/>
      <c r="L18" s="207"/>
      <c r="M18" s="207"/>
      <c r="N18" s="207"/>
      <c r="O18" s="207"/>
      <c r="P18" s="169"/>
      <c r="Q18" s="208"/>
      <c r="R18" s="166" t="str">
        <f ca="1">IF(ISERROR($V18),"",OFFSET('Smelter Look-up'!$C$4,$V18-4,0)&amp;"")</f>
        <v>JX Advanced Metals Corporation</v>
      </c>
      <c r="S18" s="165" t="str">
        <f t="shared" ca="1" si="2"/>
        <v>JP</v>
      </c>
      <c r="T18" s="165" t="str">
        <f ca="1">IF(B18="","",IF(ISERROR(MATCH($J18,SorP!$B$1:$B$6261,0)),"",INDIRECT("'SorP'!$A$"&amp;MATCH($S18&amp;$J18,SorP!C:C,0))))</f>
        <v>JP-44</v>
      </c>
      <c r="U18" s="185"/>
      <c r="V18" s="209">
        <f>IF(C18="",NA(),IF(OR(C18="Smelter not listed",C18="Smelter not yet identified"),MATCH($B18&amp;$D18,'Smelter Look-up'!$J:$J,0),MATCH($B18&amp;$C18,'Smelter Look-up'!$J:$J,0)))</f>
        <v>152</v>
      </c>
      <c r="X18" s="210">
        <f t="shared" si="3"/>
        <v>0</v>
      </c>
      <c r="AB18" s="211" t="str">
        <f t="shared" si="4"/>
        <v>GoldJX Nippon Mining &amp; Metals Co., Ltd.</v>
      </c>
    </row>
    <row r="19" spans="1:28" s="210" customFormat="1" ht="20">
      <c r="A19" s="165" t="s">
        <v>676</v>
      </c>
      <c r="B19" s="166" t="s">
        <v>1087</v>
      </c>
      <c r="C19" s="170" t="s">
        <v>53</v>
      </c>
      <c r="D19" s="213"/>
      <c r="E19" s="166" t="s">
        <v>1066</v>
      </c>
      <c r="F19" s="166" t="s">
        <v>676</v>
      </c>
      <c r="G19" s="166" t="s">
        <v>12764</v>
      </c>
      <c r="H19" s="167">
        <v>0</v>
      </c>
      <c r="I19" s="168" t="s">
        <v>15898</v>
      </c>
      <c r="J19" s="168" t="s">
        <v>1532</v>
      </c>
      <c r="K19" s="207"/>
      <c r="L19" s="207"/>
      <c r="M19" s="207"/>
      <c r="N19" s="207"/>
      <c r="O19" s="207"/>
      <c r="P19" s="169"/>
      <c r="Q19" s="208"/>
      <c r="R19" s="166" t="str">
        <f ca="1">IF(ISERROR($V19),"",OFFSET('Smelter Look-up'!$C$4,$V19-4,0)&amp;"")</f>
        <v>Matsuda Sangyo Co., Ltd.</v>
      </c>
      <c r="S19" s="165" t="str">
        <f t="shared" ca="1" si="2"/>
        <v>JP</v>
      </c>
      <c r="T19" s="165" t="str">
        <f ca="1">IF(B19="","",IF(ISERROR(MATCH($J19,SorP!$B$1:$B$6261,0)),"",INDIRECT("'SorP'!$A$"&amp;MATCH($S19&amp;$J19,SorP!C:C,0))))</f>
        <v>JP-11</v>
      </c>
      <c r="U19" s="185"/>
      <c r="V19" s="209">
        <f>IF(C19="",NA(),IF(OR(C19="Smelter not listed",C19="Smelter not yet identified"),MATCH($B19&amp;$D19,'Smelter Look-up'!$J:$J,0),MATCH($B19&amp;$C19,'Smelter Look-up'!$J:$J,0)))</f>
        <v>185</v>
      </c>
      <c r="X19" s="210">
        <f t="shared" si="3"/>
        <v>0</v>
      </c>
      <c r="AB19" s="211" t="str">
        <f t="shared" si="4"/>
        <v>GoldMatsuda Sangyo Co., Ltd.</v>
      </c>
    </row>
    <row r="20" spans="1:28" s="210" customFormat="1" ht="20">
      <c r="A20" s="165" t="s">
        <v>682</v>
      </c>
      <c r="B20" s="166" t="s">
        <v>1087</v>
      </c>
      <c r="C20" s="170" t="s">
        <v>1120</v>
      </c>
      <c r="D20" s="213"/>
      <c r="E20" s="166" t="s">
        <v>1066</v>
      </c>
      <c r="F20" s="166" t="s">
        <v>682</v>
      </c>
      <c r="G20" s="166" t="s">
        <v>12764</v>
      </c>
      <c r="H20" s="167">
        <v>0</v>
      </c>
      <c r="I20" s="168" t="s">
        <v>15899</v>
      </c>
      <c r="J20" s="168" t="s">
        <v>2117</v>
      </c>
      <c r="K20" s="207"/>
      <c r="L20" s="207"/>
      <c r="M20" s="207"/>
      <c r="N20" s="207"/>
      <c r="O20" s="207"/>
      <c r="P20" s="169"/>
      <c r="Q20" s="208"/>
      <c r="R20" s="166" t="str">
        <f ca="1">IF(ISERROR($V20),"",OFFSET('Smelter Look-up'!$C$4,$V20-4,0)&amp;"")</f>
        <v>Mitsubishi Materials Corporation</v>
      </c>
      <c r="S20" s="165" t="str">
        <f t="shared" ca="1" si="2"/>
        <v>JP</v>
      </c>
      <c r="T20" s="165" t="str">
        <f ca="1">IF(B20="","",IF(ISERROR(MATCH($J20,SorP!$B$1:$B$6261,0)),"",INDIRECT("'SorP'!$A$"&amp;MATCH($S20&amp;$J20,SorP!C:C,0))))</f>
        <v>JP-37</v>
      </c>
      <c r="U20" s="185"/>
      <c r="V20" s="209">
        <f>IF(C20="",NA(),IF(OR(C20="Smelter not listed",C20="Smelter not yet identified"),MATCH($B20&amp;$D20,'Smelter Look-up'!$J:$J,0),MATCH($B20&amp;$C20,'Smelter Look-up'!$J:$J,0)))</f>
        <v>204</v>
      </c>
      <c r="X20" s="210">
        <f t="shared" si="3"/>
        <v>0</v>
      </c>
      <c r="AB20" s="211" t="str">
        <f t="shared" si="4"/>
        <v>GoldMitsubishi Materials Corporation</v>
      </c>
    </row>
    <row r="21" spans="1:28" s="210" customFormat="1" ht="20">
      <c r="A21" s="165" t="s">
        <v>683</v>
      </c>
      <c r="B21" s="166" t="s">
        <v>1087</v>
      </c>
      <c r="C21" s="170" t="s">
        <v>1184</v>
      </c>
      <c r="D21" s="213"/>
      <c r="E21" s="166" t="s">
        <v>1066</v>
      </c>
      <c r="F21" s="166" t="s">
        <v>683</v>
      </c>
      <c r="G21" s="166" t="s">
        <v>12764</v>
      </c>
      <c r="H21" s="167">
        <v>0</v>
      </c>
      <c r="I21" s="168" t="s">
        <v>1569</v>
      </c>
      <c r="J21" s="168" t="s">
        <v>1568</v>
      </c>
      <c r="K21" s="207"/>
      <c r="L21" s="207"/>
      <c r="M21" s="207"/>
      <c r="N21" s="207"/>
      <c r="O21" s="207"/>
      <c r="P21" s="169"/>
      <c r="Q21" s="208"/>
      <c r="R21" s="166" t="str">
        <f ca="1">IF(ISERROR($V21),"",OFFSET('Smelter Look-up'!$C$4,$V21-4,0)&amp;"")</f>
        <v>Mitsui Mining and Smelting Co., Ltd.</v>
      </c>
      <c r="S21" s="165" t="str">
        <f t="shared" ca="1" si="2"/>
        <v>JP</v>
      </c>
      <c r="T21" s="165" t="str">
        <f ca="1">IF(B21="","",IF(ISERROR(MATCH($J21,SorP!$B$1:$B$6261,0)),"",INDIRECT("'SorP'!$A$"&amp;MATCH($S21&amp;$J21,SorP!C:C,0))))</f>
        <v>JP-34</v>
      </c>
      <c r="U21" s="185"/>
      <c r="V21" s="209">
        <f>IF(C21="",NA(),IF(OR(C21="Smelter not listed",C21="Smelter not yet identified"),MATCH($B21&amp;$D21,'Smelter Look-up'!$J:$J,0),MATCH($B21&amp;$C21,'Smelter Look-up'!$J:$J,0)))</f>
        <v>206</v>
      </c>
      <c r="X21" s="210">
        <f t="shared" si="3"/>
        <v>0</v>
      </c>
      <c r="AB21" s="211" t="str">
        <f t="shared" si="4"/>
        <v>GoldMitsui Mining and Smelting Co., Ltd.</v>
      </c>
    </row>
    <row r="22" spans="1:28" s="210" customFormat="1" ht="20">
      <c r="A22" s="165" t="s">
        <v>687</v>
      </c>
      <c r="B22" s="166" t="s">
        <v>1087</v>
      </c>
      <c r="C22" s="170" t="s">
        <v>2062</v>
      </c>
      <c r="D22" s="213"/>
      <c r="E22" s="166" t="s">
        <v>1066</v>
      </c>
      <c r="F22" s="166" t="s">
        <v>687</v>
      </c>
      <c r="G22" s="166" t="s">
        <v>12764</v>
      </c>
      <c r="H22" s="167">
        <v>0</v>
      </c>
      <c r="I22" s="168" t="s">
        <v>1573</v>
      </c>
      <c r="J22" s="168" t="s">
        <v>1574</v>
      </c>
      <c r="K22" s="207"/>
      <c r="L22" s="207"/>
      <c r="M22" s="207"/>
      <c r="N22" s="207"/>
      <c r="O22" s="207"/>
      <c r="P22" s="169"/>
      <c r="Q22" s="208"/>
      <c r="R22" s="166" t="str">
        <f ca="1">IF(ISERROR($V22),"",OFFSET('Smelter Look-up'!$C$4,$V22-4,0)&amp;"")</f>
        <v>Nihon Material Co., Ltd.</v>
      </c>
      <c r="S22" s="165" t="str">
        <f t="shared" ca="1" si="2"/>
        <v>JP</v>
      </c>
      <c r="T22" s="165" t="str">
        <f ca="1">IF(B22="","",IF(ISERROR(MATCH($J22,SorP!$B$1:$B$6261,0)),"",INDIRECT("'SorP'!$A$"&amp;MATCH($S22&amp;$J22,SorP!C:C,0))))</f>
        <v>JP-12</v>
      </c>
      <c r="U22" s="185"/>
      <c r="V22" s="209">
        <f>IF(C22="",NA(),IF(OR(C22="Smelter not listed",C22="Smelter not yet identified"),MATCH($B22&amp;$D22,'Smelter Look-up'!$J:$J,0),MATCH($B22&amp;$C22,'Smelter Look-up'!$J:$J,0)))</f>
        <v>217</v>
      </c>
      <c r="X22" s="210">
        <f t="shared" si="3"/>
        <v>0</v>
      </c>
      <c r="AB22" s="211" t="str">
        <f t="shared" si="4"/>
        <v>GoldNihon Material Co., Ltd.</v>
      </c>
    </row>
    <row r="23" spans="1:28" s="210" customFormat="1" ht="20">
      <c r="A23" s="165" t="s">
        <v>703</v>
      </c>
      <c r="B23" s="166" t="s">
        <v>1087</v>
      </c>
      <c r="C23" s="170" t="s">
        <v>54</v>
      </c>
      <c r="D23" s="213"/>
      <c r="E23" s="166" t="s">
        <v>1066</v>
      </c>
      <c r="F23" s="166" t="s">
        <v>703</v>
      </c>
      <c r="G23" s="166" t="s">
        <v>12764</v>
      </c>
      <c r="H23" s="167">
        <v>0</v>
      </c>
      <c r="I23" s="168" t="s">
        <v>15891</v>
      </c>
      <c r="J23" s="168" t="s">
        <v>2118</v>
      </c>
      <c r="K23" s="207"/>
      <c r="L23" s="207"/>
      <c r="M23" s="207"/>
      <c r="N23" s="207"/>
      <c r="O23" s="207"/>
      <c r="P23" s="169"/>
      <c r="Q23" s="208"/>
      <c r="R23" s="166" t="str">
        <f ca="1">IF(ISERROR($V23),"",OFFSET('Smelter Look-up'!$C$4,$V23-4,0)&amp;"")</f>
        <v>Sumitomo Metal Mining Co., Ltd.</v>
      </c>
      <c r="S23" s="165" t="str">
        <f t="shared" ca="1" si="2"/>
        <v>JP</v>
      </c>
      <c r="T23" s="165" t="str">
        <f ca="1">IF(B23="","",IF(ISERROR(MATCH($J23,SorP!$B$1:$B$6261,0)),"",INDIRECT("'SorP'!$A$"&amp;MATCH($S23&amp;$J23,SorP!C:C,0))))</f>
        <v>JP-38</v>
      </c>
      <c r="U23" s="185"/>
      <c r="V23" s="209">
        <f>IF(C23="",NA(),IF(OR(C23="Smelter not listed",C23="Smelter not yet identified"),MATCH($B23&amp;$D23,'Smelter Look-up'!$J:$J,0),MATCH($B23&amp;$C23,'Smelter Look-up'!$J:$J,0)))</f>
        <v>290</v>
      </c>
      <c r="X23" s="210">
        <f t="shared" si="3"/>
        <v>0</v>
      </c>
      <c r="AB23" s="211" t="str">
        <f t="shared" si="4"/>
        <v>GoldSumitomo Metal Mining Co., Ltd.</v>
      </c>
    </row>
    <row r="24" spans="1:28" s="210" customFormat="1" ht="20">
      <c r="A24" s="165" t="s">
        <v>704</v>
      </c>
      <c r="B24" s="166" t="s">
        <v>1087</v>
      </c>
      <c r="C24" s="170" t="s">
        <v>1187</v>
      </c>
      <c r="D24" s="213"/>
      <c r="E24" s="166" t="s">
        <v>1066</v>
      </c>
      <c r="F24" s="166" t="s">
        <v>704</v>
      </c>
      <c r="G24" s="166" t="s">
        <v>12764</v>
      </c>
      <c r="H24" s="167">
        <v>0</v>
      </c>
      <c r="I24" s="168" t="s">
        <v>15890</v>
      </c>
      <c r="J24" s="168" t="s">
        <v>1601</v>
      </c>
      <c r="K24" s="207"/>
      <c r="L24" s="207"/>
      <c r="M24" s="207"/>
      <c r="N24" s="207"/>
      <c r="O24" s="207"/>
      <c r="P24" s="169"/>
      <c r="Q24" s="208"/>
      <c r="R24" s="166" t="str">
        <f ca="1">IF(ISERROR($V24),"",OFFSET('Smelter Look-up'!$C$4,$V24-4,0)&amp;"")</f>
        <v>Tanaka Kikinzoku Kogyo K.K.</v>
      </c>
      <c r="S24" s="165" t="str">
        <f t="shared" ca="1" si="2"/>
        <v>JP</v>
      </c>
      <c r="T24" s="165" t="str">
        <f ca="1">IF(B24="","",IF(ISERROR(MATCH($J24,SorP!$B$1:$B$6261,0)),"",INDIRECT("'SorP'!$A$"&amp;MATCH($S24&amp;$J24,SorP!C:C,0))))</f>
        <v>JP-14</v>
      </c>
      <c r="U24" s="185"/>
      <c r="V24" s="209">
        <f>IF(C24="",NA(),IF(OR(C24="Smelter not listed",C24="Smelter not yet identified"),MATCH($B24&amp;$D24,'Smelter Look-up'!$J:$J,0),MATCH($B24&amp;$C24,'Smelter Look-up'!$J:$J,0)))</f>
        <v>303</v>
      </c>
      <c r="X24" s="210">
        <f t="shared" si="3"/>
        <v>0</v>
      </c>
      <c r="AB24" s="211" t="str">
        <f t="shared" si="4"/>
        <v>GoldTanaka Kikinzoku Kogyo K.K.</v>
      </c>
    </row>
    <row r="25" spans="1:28" s="210" customFormat="1" ht="20">
      <c r="A25" s="165" t="s">
        <v>707</v>
      </c>
      <c r="B25" s="166" t="s">
        <v>1087</v>
      </c>
      <c r="C25" s="170" t="s">
        <v>2070</v>
      </c>
      <c r="D25" s="213"/>
      <c r="E25" s="166" t="s">
        <v>1066</v>
      </c>
      <c r="F25" s="166" t="s">
        <v>707</v>
      </c>
      <c r="G25" s="166" t="s">
        <v>12764</v>
      </c>
      <c r="H25" s="167">
        <v>0</v>
      </c>
      <c r="I25" s="168" t="s">
        <v>15900</v>
      </c>
      <c r="J25" s="168" t="s">
        <v>1532</v>
      </c>
      <c r="K25" s="207"/>
      <c r="L25" s="207"/>
      <c r="M25" s="207"/>
      <c r="N25" s="207"/>
      <c r="O25" s="207"/>
      <c r="P25" s="169"/>
      <c r="Q25" s="208"/>
      <c r="R25" s="166" t="str">
        <f ca="1">IF(ISERROR($V25),"",OFFSET('Smelter Look-up'!$C$4,$V25-4,0)&amp;"")</f>
        <v>Tokuriki Honten Co., Ltd.</v>
      </c>
      <c r="S25" s="165" t="str">
        <f t="shared" ca="1" si="2"/>
        <v>JP</v>
      </c>
      <c r="T25" s="165" t="str">
        <f ca="1">IF(B25="","",IF(ISERROR(MATCH($J25,SorP!$B$1:$B$6261,0)),"",INDIRECT("'SorP'!$A$"&amp;MATCH($S25&amp;$J25,SorP!C:C,0))))</f>
        <v>JP-11</v>
      </c>
      <c r="U25" s="185"/>
      <c r="V25" s="209">
        <f>IF(C25="",NA(),IF(OR(C25="Smelter not listed",C25="Smelter not yet identified"),MATCH($B25&amp;$D25,'Smelter Look-up'!$J:$J,0),MATCH($B25&amp;$C25,'Smelter Look-up'!$J:$J,0)))</f>
        <v>309</v>
      </c>
      <c r="X25" s="210">
        <f t="shared" si="3"/>
        <v>0</v>
      </c>
      <c r="AB25" s="211" t="str">
        <f t="shared" si="4"/>
        <v>GoldTokuriki Honten Co., Ltd.</v>
      </c>
    </row>
    <row r="26" spans="1:28" s="210" customFormat="1" ht="20">
      <c r="A26" s="165" t="s">
        <v>766</v>
      </c>
      <c r="B26" s="166" t="s">
        <v>1090</v>
      </c>
      <c r="C26" s="170" t="s">
        <v>1336</v>
      </c>
      <c r="D26" s="213"/>
      <c r="E26" s="166" t="s">
        <v>1058</v>
      </c>
      <c r="F26" s="166" t="s">
        <v>766</v>
      </c>
      <c r="G26" s="166" t="s">
        <v>12764</v>
      </c>
      <c r="H26" s="167">
        <v>0</v>
      </c>
      <c r="I26" s="168" t="s">
        <v>1744</v>
      </c>
      <c r="J26" s="168" t="s">
        <v>13116</v>
      </c>
      <c r="K26" s="207"/>
      <c r="L26" s="207"/>
      <c r="M26" s="207"/>
      <c r="N26" s="207"/>
      <c r="O26" s="207"/>
      <c r="P26" s="169"/>
      <c r="Q26" s="208"/>
      <c r="R26" s="166" t="str">
        <f ca="1">IF(ISERROR($V26),"",OFFSET('Smelter Look-up'!$C$4,$V26-4,0)&amp;"")</f>
        <v>Xiamen Tungsten Co., Ltd.</v>
      </c>
      <c r="S26" s="165" t="str">
        <f t="shared" ca="1" si="2"/>
        <v>CN</v>
      </c>
      <c r="T26" s="165" t="str">
        <f ca="1">IF(B26="","",IF(ISERROR(MATCH($J26,SorP!$B$1:$B$6261,0)),"",INDIRECT("'SorP'!$A$"&amp;MATCH($S26&amp;$J26,SorP!C:C,0))))</f>
        <v>CN-FJ</v>
      </c>
      <c r="U26" s="185"/>
      <c r="V26" s="209">
        <f>IF(C26="",NA(),IF(OR(C26="Smelter not listed",C26="Smelter not yet identified"),MATCH($B26&amp;$D26,'Smelter Look-up'!$J:$J,0),MATCH($B26&amp;$C26,'Smelter Look-up'!$J:$J,0)))</f>
        <v>650</v>
      </c>
      <c r="X26" s="210">
        <f t="shared" si="3"/>
        <v>0</v>
      </c>
      <c r="AB26" s="211" t="str">
        <f t="shared" si="4"/>
        <v>TungstenXiamen Tungsten Co., Ltd.</v>
      </c>
    </row>
    <row r="27" spans="1:28" s="210" customFormat="1" ht="20">
      <c r="A27" s="165" t="s">
        <v>136</v>
      </c>
      <c r="B27" s="166" t="s">
        <v>1090</v>
      </c>
      <c r="C27" s="170" t="s">
        <v>145</v>
      </c>
      <c r="D27" s="213"/>
      <c r="E27" s="166" t="s">
        <v>1058</v>
      </c>
      <c r="F27" s="166" t="s">
        <v>136</v>
      </c>
      <c r="G27" s="166" t="s">
        <v>12764</v>
      </c>
      <c r="H27" s="167">
        <v>0</v>
      </c>
      <c r="I27" s="168" t="s">
        <v>1744</v>
      </c>
      <c r="J27" s="168" t="s">
        <v>13116</v>
      </c>
      <c r="K27" s="207"/>
      <c r="L27" s="207"/>
      <c r="M27" s="207"/>
      <c r="N27" s="207"/>
      <c r="O27" s="207"/>
      <c r="P27" s="169"/>
      <c r="Q27" s="208"/>
      <c r="R27" s="166" t="str">
        <f ca="1">IF(ISERROR($V27),"",OFFSET('Smelter Look-up'!$C$4,$V27-4,0)&amp;"")</f>
        <v>Xiamen Tungsten (H.C.) Co., Ltd.</v>
      </c>
      <c r="S27" s="165" t="str">
        <f t="shared" ca="1" si="2"/>
        <v>CN</v>
      </c>
      <c r="T27" s="165" t="str">
        <f ca="1">IF(B27="","",IF(ISERROR(MATCH($J27,SorP!$B$1:$B$6261,0)),"",INDIRECT("'SorP'!$A$"&amp;MATCH($S27&amp;$J27,SorP!C:C,0))))</f>
        <v>CN-FJ</v>
      </c>
      <c r="U27" s="185"/>
      <c r="V27" s="209">
        <f>IF(C27="",NA(),IF(OR(C27="Smelter not listed",C27="Smelter not yet identified"),MATCH($B27&amp;$D27,'Smelter Look-up'!$J:$J,0),MATCH($B27&amp;$C27,'Smelter Look-up'!$J:$J,0)))</f>
        <v>649</v>
      </c>
      <c r="X27" s="210">
        <f t="shared" si="3"/>
        <v>0</v>
      </c>
      <c r="AB27" s="211" t="str">
        <f t="shared" si="4"/>
        <v>TungstenXiamen Tungsten (H.C.) Co., Ltd.</v>
      </c>
    </row>
    <row r="28" spans="1:28" s="210" customFormat="1" ht="20">
      <c r="A28" s="165" t="s">
        <v>15892</v>
      </c>
      <c r="B28" s="166" t="s">
        <v>1090</v>
      </c>
      <c r="C28" s="170" t="s">
        <v>15893</v>
      </c>
      <c r="D28" s="213"/>
      <c r="E28" s="166" t="s">
        <v>1058</v>
      </c>
      <c r="F28" s="166" t="s">
        <v>15892</v>
      </c>
      <c r="G28" s="166" t="s">
        <v>12764</v>
      </c>
      <c r="H28" s="167">
        <v>0</v>
      </c>
      <c r="I28" s="168" t="s">
        <v>1692</v>
      </c>
      <c r="J28" s="168" t="s">
        <v>13117</v>
      </c>
      <c r="K28" s="207"/>
      <c r="L28" s="207"/>
      <c r="M28" s="207"/>
      <c r="N28" s="207"/>
      <c r="O28" s="207"/>
      <c r="P28" s="169"/>
      <c r="Q28" s="208"/>
      <c r="R28" s="166" t="str">
        <f ca="1">IF(ISERROR($V28),"",OFFSET('Smelter Look-up'!$C$4,$V28-4,0)&amp;"")</f>
        <v/>
      </c>
      <c r="S28" s="165" t="str">
        <f t="shared" ca="1" si="2"/>
        <v>CN</v>
      </c>
      <c r="T28" s="165" t="str">
        <f ca="1">IF(B28="","",IF(ISERROR(MATCH($J28,SorP!$B$1:$B$6261,0)),"",INDIRECT("'SorP'!$A$"&amp;MATCH($S28&amp;$J28,SorP!C:C,0))))</f>
        <v>CN-JX</v>
      </c>
      <c r="U28" s="185"/>
      <c r="V28" s="209" t="e">
        <f>IF(C28="",NA(),IF(OR(C28="Smelter not listed",C28="Smelter not yet identified"),MATCH($B28&amp;$D28,'Smelter Look-up'!$J:$J,0),MATCH($B28&amp;$C28,'Smelter Look-up'!$J:$J,0)))</f>
        <v>#N/A</v>
      </c>
      <c r="X28" s="210">
        <f t="shared" si="3"/>
        <v>0</v>
      </c>
      <c r="AB28" s="211" t="str">
        <f t="shared" si="4"/>
        <v>TungstenGanzhou Huaxing Tungsten Products Co., Ltd.</v>
      </c>
    </row>
    <row r="29" spans="1:28" s="210" customFormat="1" ht="20">
      <c r="A29" s="165" t="s">
        <v>760</v>
      </c>
      <c r="B29" s="166" t="s">
        <v>1090</v>
      </c>
      <c r="C29" s="170" t="s">
        <v>1332</v>
      </c>
      <c r="D29" s="213"/>
      <c r="E29" s="166" t="s">
        <v>1058</v>
      </c>
      <c r="F29" s="166" t="s">
        <v>760</v>
      </c>
      <c r="G29" s="166" t="s">
        <v>12764</v>
      </c>
      <c r="H29" s="167">
        <v>0</v>
      </c>
      <c r="I29" s="168" t="s">
        <v>1692</v>
      </c>
      <c r="J29" s="168" t="s">
        <v>13117</v>
      </c>
      <c r="K29" s="207"/>
      <c r="L29" s="207"/>
      <c r="M29" s="207"/>
      <c r="N29" s="207"/>
      <c r="O29" s="207"/>
      <c r="P29" s="169"/>
      <c r="Q29" s="208"/>
      <c r="R29" s="166" t="str">
        <f ca="1">IF(ISERROR($V29),"",OFFSET('Smelter Look-up'!$C$4,$V29-4,0)&amp;"")</f>
        <v>Chongyi Zhangyuan Tungsten Co., Ltd.</v>
      </c>
      <c r="S29" s="165" t="str">
        <f t="shared" ca="1" si="2"/>
        <v>CN</v>
      </c>
      <c r="T29" s="165" t="str">
        <f ca="1">IF(B29="","",IF(ISERROR(MATCH($J29,SorP!$B$1:$B$6261,0)),"",INDIRECT("'SorP'!$A$"&amp;MATCH($S29&amp;$J29,SorP!C:C,0))))</f>
        <v>CN-JX</v>
      </c>
      <c r="U29" s="185"/>
      <c r="V29" s="209">
        <f>IF(C29="",NA(),IF(OR(C29="Smelter not listed",C29="Smelter not yet identified"),MATCH($B29&amp;$D29,'Smelter Look-up'!$J:$J,0),MATCH($B29&amp;$C29,'Smelter Look-up'!$J:$J,0)))</f>
        <v>588</v>
      </c>
      <c r="X29" s="210">
        <f t="shared" si="3"/>
        <v>0</v>
      </c>
      <c r="AB29" s="211" t="str">
        <f t="shared" si="4"/>
        <v>TungstenChongyi Zhangyuan Tungsten Co., Ltd.</v>
      </c>
    </row>
    <row r="30" spans="1:28" s="210" customFormat="1" ht="20">
      <c r="A30" s="165" t="s">
        <v>763</v>
      </c>
      <c r="B30" s="166" t="s">
        <v>1090</v>
      </c>
      <c r="C30" s="170" t="s">
        <v>1335</v>
      </c>
      <c r="D30" s="213"/>
      <c r="E30" s="166" t="s">
        <v>1066</v>
      </c>
      <c r="F30" s="166" t="s">
        <v>763</v>
      </c>
      <c r="G30" s="166" t="s">
        <v>12764</v>
      </c>
      <c r="H30" s="167">
        <v>0</v>
      </c>
      <c r="I30" s="168" t="s">
        <v>2045</v>
      </c>
      <c r="J30" s="168" t="s">
        <v>1527</v>
      </c>
      <c r="K30" s="207"/>
      <c r="L30" s="207"/>
      <c r="M30" s="207"/>
      <c r="N30" s="207"/>
      <c r="O30" s="207"/>
      <c r="P30" s="169"/>
      <c r="Q30" s="208"/>
      <c r="R30" s="166" t="str">
        <f ca="1">IF(ISERROR($V30),"",OFFSET('Smelter Look-up'!$C$4,$V30-4,0)&amp;"")</f>
        <v>Japan New Metals Co., Ltd.</v>
      </c>
      <c r="S30" s="165" t="str">
        <f t="shared" ca="1" si="2"/>
        <v>JP</v>
      </c>
      <c r="T30" s="165" t="str">
        <f ca="1">IF(B30="","",IF(ISERROR(MATCH($J30,SorP!$B$1:$B$6261,0)),"",INDIRECT("'SorP'!$A$"&amp;MATCH($S30&amp;$J30,SorP!C:C,0))))</f>
        <v>JP-05</v>
      </c>
      <c r="U30" s="185"/>
      <c r="V30" s="209">
        <f>IF(C30="",NA(),IF(OR(C30="Smelter not listed",C30="Smelter not yet identified"),MATCH($B30&amp;$D30,'Smelter Look-up'!$J:$J,0),MATCH($B30&amp;$C30,'Smelter Look-up'!$J:$J,0)))</f>
        <v>608</v>
      </c>
      <c r="X30" s="210">
        <f t="shared" si="3"/>
        <v>0</v>
      </c>
      <c r="AB30" s="211" t="str">
        <f t="shared" si="4"/>
        <v>TungstenJapan New Metals Co., Ltd.</v>
      </c>
    </row>
    <row r="31" spans="1:28" s="210" customFormat="1" ht="20">
      <c r="A31" s="165" t="s">
        <v>1358</v>
      </c>
      <c r="B31" s="166" t="s">
        <v>1090</v>
      </c>
      <c r="C31" s="170" t="s">
        <v>1357</v>
      </c>
      <c r="D31" s="213"/>
      <c r="E31" s="166" t="s">
        <v>1058</v>
      </c>
      <c r="F31" s="166" t="s">
        <v>1358</v>
      </c>
      <c r="G31" s="166" t="s">
        <v>12764</v>
      </c>
      <c r="H31" s="167">
        <v>0</v>
      </c>
      <c r="I31" s="168" t="s">
        <v>1693</v>
      </c>
      <c r="J31" s="168" t="s">
        <v>13121</v>
      </c>
      <c r="K31" s="207"/>
      <c r="L31" s="207"/>
      <c r="M31" s="207"/>
      <c r="N31" s="207"/>
      <c r="O31" s="207"/>
      <c r="P31" s="169"/>
      <c r="Q31" s="208"/>
      <c r="R31" s="166" t="str">
        <f ca="1">IF(ISERROR($V31),"",OFFSET('Smelter Look-up'!$C$4,$V31-4,0)&amp;"")</f>
        <v>Hunan Shizhuyuan Nonferrous Metals Co., Ltd. Chenzhou Tungsten Products Branch</v>
      </c>
      <c r="S31" s="165" t="str">
        <f t="shared" ca="1" si="2"/>
        <v>CN</v>
      </c>
      <c r="T31" s="165" t="str">
        <f ca="1">IF(B31="","",IF(ISERROR(MATCH($J31,SorP!$B$1:$B$6261,0)),"",INDIRECT("'SorP'!$A$"&amp;MATCH($S31&amp;$J31,SorP!C:C,0))))</f>
        <v>CN-HN</v>
      </c>
      <c r="U31" s="185"/>
      <c r="V31" s="209">
        <f>IF(C31="",NA(),IF(OR(C31="Smelter not listed",C31="Smelter not yet identified"),MATCH($B31&amp;$D31,'Smelter Look-up'!$J:$J,0),MATCH($B31&amp;$C31,'Smelter Look-up'!$J:$J,0)))</f>
        <v>584</v>
      </c>
      <c r="X31" s="210">
        <f t="shared" si="3"/>
        <v>0</v>
      </c>
      <c r="AB31" s="211" t="str">
        <f t="shared" si="4"/>
        <v>TungstenChenzhou Diamond Tungsten Products Co., Ltd.</v>
      </c>
    </row>
    <row r="32" spans="1:28" s="210" customFormat="1" ht="20">
      <c r="A32" s="165" t="s">
        <v>378</v>
      </c>
      <c r="B32" s="166" t="s">
        <v>1090</v>
      </c>
      <c r="C32" s="170" t="s">
        <v>377</v>
      </c>
      <c r="D32" s="213"/>
      <c r="E32" s="166" t="s">
        <v>1058</v>
      </c>
      <c r="F32" s="166" t="s">
        <v>378</v>
      </c>
      <c r="G32" s="166" t="s">
        <v>12764</v>
      </c>
      <c r="H32" s="167">
        <v>0</v>
      </c>
      <c r="I32" s="168" t="s">
        <v>1692</v>
      </c>
      <c r="J32" s="168" t="s">
        <v>13117</v>
      </c>
      <c r="K32" s="207"/>
      <c r="L32" s="207"/>
      <c r="M32" s="207"/>
      <c r="N32" s="207"/>
      <c r="O32" s="207"/>
      <c r="P32" s="169"/>
      <c r="Q32" s="208"/>
      <c r="R32" s="166" t="str">
        <f ca="1">IF(ISERROR($V32),"",OFFSET('Smelter Look-up'!$C$4,$V32-4,0)&amp;"")</f>
        <v>Ganzhou Seadragon W &amp; Mo Co., Ltd.</v>
      </c>
      <c r="S32" s="165" t="str">
        <f t="shared" ca="1" si="2"/>
        <v>CN</v>
      </c>
      <c r="T32" s="165" t="str">
        <f ca="1">IF(B32="","",IF(ISERROR(MATCH($J32,SorP!$B$1:$B$6261,0)),"",INDIRECT("'SorP'!$A$"&amp;MATCH($S32&amp;$J32,SorP!C:C,0))))</f>
        <v>CN-JX</v>
      </c>
      <c r="U32" s="185"/>
      <c r="V32" s="209">
        <f>IF(C32="",NA(),IF(OR(C32="Smelter not listed",C32="Smelter not yet identified"),MATCH($B32&amp;$D32,'Smelter Look-up'!$J:$J,0),MATCH($B32&amp;$C32,'Smelter Look-up'!$J:$J,0)))</f>
        <v>593</v>
      </c>
      <c r="X32" s="210">
        <f t="shared" si="3"/>
        <v>0</v>
      </c>
      <c r="AB32" s="211" t="str">
        <f t="shared" si="4"/>
        <v>TungstenGanzhou Seadragon W &amp; Mo Co., Ltd.</v>
      </c>
    </row>
    <row r="33" spans="1:28" s="210" customFormat="1" ht="27">
      <c r="A33" s="165" t="s">
        <v>761</v>
      </c>
      <c r="B33" s="166" t="s">
        <v>1090</v>
      </c>
      <c r="C33" s="170" t="s">
        <v>15901</v>
      </c>
      <c r="D33" s="213"/>
      <c r="E33" s="166" t="s">
        <v>2323</v>
      </c>
      <c r="F33" s="166" t="s">
        <v>761</v>
      </c>
      <c r="G33" s="166" t="s">
        <v>12764</v>
      </c>
      <c r="H33" s="167">
        <v>0</v>
      </c>
      <c r="I33" s="168" t="s">
        <v>1739</v>
      </c>
      <c r="J33" s="168" t="s">
        <v>1660</v>
      </c>
      <c r="K33" s="207"/>
      <c r="L33" s="207"/>
      <c r="M33" s="207"/>
      <c r="N33" s="207"/>
      <c r="O33" s="207"/>
      <c r="P33" s="169"/>
      <c r="Q33" s="208"/>
      <c r="R33" s="166" t="str">
        <f ca="1">IF(ISERROR($V33),"",OFFSET('Smelter Look-up'!$C$4,$V33-4,0)&amp;"")</f>
        <v/>
      </c>
      <c r="S33" s="165" t="str">
        <f t="shared" ca="1" si="2"/>
        <v>US</v>
      </c>
      <c r="T33" s="165" t="str">
        <f ca="1">IF(B33="","",IF(ISERROR(MATCH($J33,SorP!$B$1:$B$6261,0)),"",INDIRECT("'SorP'!$A$"&amp;MATCH($S33&amp;$J33,SorP!C:C,0))))</f>
        <v>US-PA</v>
      </c>
      <c r="U33" s="185"/>
      <c r="V33" s="209" t="e">
        <f>IF(C33="",NA(),IF(OR(C33="Smelter not listed",C33="Smelter not yet identified"),MATCH($B33&amp;$D33,'Smelter Look-up'!$J:$J,0),MATCH($B33&amp;$C33,'Smelter Look-up'!$J:$J,0)))</f>
        <v>#N/A</v>
      </c>
      <c r="X33" s="210">
        <f t="shared" si="3"/>
        <v>0</v>
      </c>
      <c r="AB33" s="211" t="str">
        <f t="shared" si="4"/>
        <v>TungstenGlobal Tungsten &amp; Powders Corp.</v>
      </c>
    </row>
    <row r="34" spans="1:28" s="210" customFormat="1" ht="20">
      <c r="A34" s="165" t="s">
        <v>1378</v>
      </c>
      <c r="B34" s="166" t="s">
        <v>1090</v>
      </c>
      <c r="C34" s="170" t="s">
        <v>2425</v>
      </c>
      <c r="D34" s="213"/>
      <c r="E34" s="166" t="s">
        <v>1059</v>
      </c>
      <c r="F34" s="166" t="s">
        <v>1378</v>
      </c>
      <c r="G34" s="166" t="s">
        <v>12764</v>
      </c>
      <c r="H34" s="167">
        <v>0</v>
      </c>
      <c r="I34" s="168" t="s">
        <v>1670</v>
      </c>
      <c r="J34" s="168" t="s">
        <v>4121</v>
      </c>
      <c r="K34" s="207"/>
      <c r="L34" s="207"/>
      <c r="M34" s="207"/>
      <c r="N34" s="207"/>
      <c r="O34" s="207"/>
      <c r="P34" s="169"/>
      <c r="Q34" s="208"/>
      <c r="R34" s="166" t="str">
        <f ca="1">IF(ISERROR($V34),"",OFFSET('Smelter Look-up'!$C$4,$V34-4,0)&amp;"")</f>
        <v>H.C. Starck Tungsten GmbH</v>
      </c>
      <c r="S34" s="165" t="str">
        <f t="shared" ca="1" si="2"/>
        <v>DE</v>
      </c>
      <c r="T34" s="165" t="str">
        <f ca="1">IF(B34="","",IF(ISERROR(MATCH($J34,SorP!$B$1:$B$6261,0)),"",INDIRECT("'SorP'!$A$"&amp;MATCH($S34&amp;$J34,SorP!C:C,0))))</f>
        <v>DE-NI</v>
      </c>
      <c r="U34" s="185"/>
      <c r="V34" s="209">
        <f>IF(C34="",NA(),IF(OR(C34="Smelter not listed",C34="Smelter not yet identified"),MATCH($B34&amp;$D34,'Smelter Look-up'!$J:$J,0),MATCH($B34&amp;$C34,'Smelter Look-up'!$J:$J,0)))</f>
        <v>600</v>
      </c>
      <c r="X34" s="210">
        <f t="shared" si="3"/>
        <v>0</v>
      </c>
      <c r="AB34" s="211" t="str">
        <f t="shared" si="4"/>
        <v>TungstenH.C. Starck Tungsten GmbH</v>
      </c>
    </row>
    <row r="35" spans="1:28" s="210" customFormat="1" ht="20">
      <c r="A35" s="165" t="s">
        <v>762</v>
      </c>
      <c r="B35" s="166" t="s">
        <v>1090</v>
      </c>
      <c r="C35" s="170" t="s">
        <v>1334</v>
      </c>
      <c r="D35" s="213"/>
      <c r="E35" s="166" t="s">
        <v>1058</v>
      </c>
      <c r="F35" s="166" t="s">
        <v>762</v>
      </c>
      <c r="G35" s="166" t="s">
        <v>12764</v>
      </c>
      <c r="H35" s="167">
        <v>0</v>
      </c>
      <c r="I35" s="168" t="s">
        <v>1663</v>
      </c>
      <c r="J35" s="168" t="s">
        <v>13121</v>
      </c>
      <c r="K35" s="207"/>
      <c r="L35" s="207"/>
      <c r="M35" s="207"/>
      <c r="N35" s="207"/>
      <c r="O35" s="207"/>
      <c r="P35" s="169"/>
      <c r="Q35" s="208"/>
      <c r="R35" s="166" t="str">
        <f ca="1">IF(ISERROR($V35),"",OFFSET('Smelter Look-up'!$C$4,$V35-4,0)&amp;"")</f>
        <v>Hunan Jintai New Material Co., Ltd.</v>
      </c>
      <c r="S35" s="165" t="str">
        <f t="shared" ca="1" si="2"/>
        <v>CN</v>
      </c>
      <c r="T35" s="165" t="str">
        <f ca="1">IF(B35="","",IF(ISERROR(MATCH($J35,SorP!$B$1:$B$6261,0)),"",INDIRECT("'SorP'!$A$"&amp;MATCH($S35&amp;$J35,SorP!C:C,0))))</f>
        <v>CN-HN</v>
      </c>
      <c r="U35" s="185"/>
      <c r="V35" s="209">
        <f>IF(C35="",NA(),IF(OR(C35="Smelter not listed",C35="Smelter not yet identified"),MATCH($B35&amp;$D35,'Smelter Look-up'!$J:$J,0),MATCH($B35&amp;$C35,'Smelter Look-up'!$J:$J,0)))</f>
        <v>604</v>
      </c>
      <c r="X35" s="210">
        <f t="shared" si="3"/>
        <v>0</v>
      </c>
      <c r="AB35" s="211" t="str">
        <f t="shared" si="4"/>
        <v>TungstenHunan Chunchang Nonferrous Metals Co., Ltd.</v>
      </c>
    </row>
    <row r="36" spans="1:28" s="210" customFormat="1" ht="20">
      <c r="A36" s="165" t="s">
        <v>130</v>
      </c>
      <c r="B36" s="166" t="s">
        <v>1090</v>
      </c>
      <c r="C36" s="170" t="s">
        <v>146</v>
      </c>
      <c r="D36" s="213"/>
      <c r="E36" s="166" t="s">
        <v>1058</v>
      </c>
      <c r="F36" s="166" t="s">
        <v>130</v>
      </c>
      <c r="G36" s="166" t="s">
        <v>12764</v>
      </c>
      <c r="H36" s="167">
        <v>0</v>
      </c>
      <c r="I36" s="168" t="s">
        <v>1747</v>
      </c>
      <c r="J36" s="168" t="s">
        <v>13117</v>
      </c>
      <c r="K36" s="207"/>
      <c r="L36" s="207"/>
      <c r="M36" s="207"/>
      <c r="N36" s="207"/>
      <c r="O36" s="207"/>
      <c r="P36" s="169"/>
      <c r="Q36" s="208"/>
      <c r="R36" s="166" t="str">
        <f ca="1">IF(ISERROR($V36),"",OFFSET('Smelter Look-up'!$C$4,$V36-4,0)&amp;"")</f>
        <v>Jiangxi Gan Bei Tungsten Co., Ltd.</v>
      </c>
      <c r="S36" s="165" t="str">
        <f t="shared" ca="1" si="2"/>
        <v>CN</v>
      </c>
      <c r="T36" s="165" t="str">
        <f ca="1">IF(B36="","",IF(ISERROR(MATCH($J36,SorP!$B$1:$B$6261,0)),"",INDIRECT("'SorP'!$A$"&amp;MATCH($S36&amp;$J36,SorP!C:C,0))))</f>
        <v>CN-JX</v>
      </c>
      <c r="U36" s="185"/>
      <c r="V36" s="209">
        <f>IF(C36="",NA(),IF(OR(C36="Smelter not listed",C36="Smelter not yet identified"),MATCH($B36&amp;$D36,'Smelter Look-up'!$J:$J,0),MATCH($B36&amp;$C36,'Smelter Look-up'!$J:$J,0)))</f>
        <v>610</v>
      </c>
      <c r="X36" s="210">
        <f t="shared" si="3"/>
        <v>0</v>
      </c>
      <c r="AB36" s="211" t="str">
        <f t="shared" si="4"/>
        <v>TungstenJiangxi Gan Bei Tungsten Co., Ltd.</v>
      </c>
    </row>
    <row r="37" spans="1:28" s="210" customFormat="1" ht="20">
      <c r="A37" s="165" t="s">
        <v>15902</v>
      </c>
      <c r="B37" s="166" t="s">
        <v>1090</v>
      </c>
      <c r="C37" s="170" t="s">
        <v>15903</v>
      </c>
      <c r="D37" s="213"/>
      <c r="E37" s="166" t="s">
        <v>852</v>
      </c>
      <c r="F37" s="166" t="s">
        <v>15902</v>
      </c>
      <c r="G37" s="166" t="s">
        <v>12764</v>
      </c>
      <c r="H37" s="167">
        <v>0</v>
      </c>
      <c r="I37" s="168" t="s">
        <v>15904</v>
      </c>
      <c r="J37" s="168" t="s">
        <v>11720</v>
      </c>
      <c r="K37" s="207"/>
      <c r="L37" s="207"/>
      <c r="M37" s="207"/>
      <c r="N37" s="207"/>
      <c r="O37" s="207"/>
      <c r="P37" s="169"/>
      <c r="Q37" s="208"/>
      <c r="R37" s="166" t="str">
        <f ca="1">IF(ISERROR($V37),"",OFFSET('Smelter Look-up'!$C$4,$V37-4,0)&amp;"")</f>
        <v/>
      </c>
      <c r="S37" s="165" t="str">
        <f t="shared" ca="1" si="2"/>
        <v>VN</v>
      </c>
      <c r="T37" s="165" t="str">
        <f ca="1">IF(B37="","",IF(ISERROR(MATCH($J37,SorP!$B$1:$B$6261,0)),"",INDIRECT("'SorP'!$A$"&amp;MATCH($S37&amp;$J37,SorP!C:C,0))))</f>
        <v>VN-37</v>
      </c>
      <c r="U37" s="185"/>
      <c r="V37" s="209" t="e">
        <f>IF(C37="",NA(),IF(OR(C37="Smelter not listed",C37="Smelter not yet identified"),MATCH($B37&amp;$D37,'Smelter Look-up'!$J:$J,0),MATCH($B37&amp;$C37,'Smelter Look-up'!$J:$J,0)))</f>
        <v>#N/A</v>
      </c>
      <c r="X37" s="210">
        <f t="shared" si="3"/>
        <v>0</v>
      </c>
      <c r="AB37" s="211" t="str">
        <f t="shared" si="4"/>
        <v>TungstenTejing (Vietnam) Tungsten Co., Ltd.</v>
      </c>
    </row>
    <row r="38" spans="1:28" s="210" customFormat="1" ht="20">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4"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0E13DC90-3CD0-46B2-807E-B793FF1367EF}"/>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4375" defaultRowHeight="13.5"/>
  <cols>
    <col min="1" max="1" width="45.15234375" style="18" customWidth="1"/>
    <col min="2" max="2" width="42.84375" style="19" customWidth="1"/>
    <col min="3" max="3" width="51.61328125" style="18" customWidth="1"/>
    <col min="4" max="4" width="29.15234375" style="19" customWidth="1"/>
    <col min="5" max="5" width="9" style="18" customWidth="1"/>
    <col min="6" max="6" width="13.61328125" style="18" hidden="1" customWidth="1"/>
    <col min="7" max="7" width="13.3828125" style="18" hidden="1" customWidth="1"/>
    <col min="8" max="9" width="9" style="18" hidden="1" customWidth="1"/>
    <col min="10" max="10" width="48.84375" style="18" hidden="1" customWidth="1"/>
    <col min="11" max="11" width="9" style="18" hidden="1" customWidth="1"/>
    <col min="12" max="15" width="8.84375" style="18" hidden="1" customWidth="1"/>
    <col min="16" max="18" width="8.84375" style="18" customWidth="1"/>
    <col min="19" max="16384" width="8.843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41">
      <c r="A4" s="87" t="str">
        <f ca="1">Declaration!B8</f>
        <v>Company Name (*):</v>
      </c>
      <c r="B4" s="86" t="str">
        <f>Declaration!D8</f>
        <v>MV-Electronics Inc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41">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41">
      <c r="A6" s="87" t="str">
        <f ca="1">Declaration!B10</f>
        <v>Description of Scope:</v>
      </c>
      <c r="B6" s="86" t="str">
        <f>Declaration!D10</f>
        <v>Crystals, XOs (Clock Oscillators), VCXOs (Voltage Controlled Clock Oscillators), TCXO (Temperature Compensated Crystal Oscillators), OCXO (Oven Controlled Crystal Oscillators)</v>
      </c>
      <c r="C6" s="86" t="str">
        <f ca="1">IF(H6=1,J6,I6)</f>
        <v>Complete</v>
      </c>
      <c r="D6" s="92" t="str">
        <f>IF(H6=1,"Click here to provide a Description of Scope","")</f>
        <v/>
      </c>
      <c r="E6" s="19" t="s">
        <v>1261</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41">
      <c r="A7" s="87" t="str">
        <f ca="1">Declaration!B15</f>
        <v>Contact Name (*):</v>
      </c>
      <c r="B7" s="86" t="str">
        <f>Declaration!D15</f>
        <v>Shiraz Vakharia</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41">
      <c r="A8" s="87" t="str">
        <f ca="1">Declaration!B16</f>
        <v>Email – Contact (*):</v>
      </c>
      <c r="B8" s="86" t="str">
        <f>Declaration!D16</f>
        <v>ShirazVakharia@MV-Electronics.com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41">
      <c r="A9" s="87" t="str">
        <f ca="1">Declaration!B17</f>
        <v>Phone – Contact (*):</v>
      </c>
      <c r="B9" s="256" t="str">
        <f>Declaration!D17</f>
        <v>+1(717) 691-1582</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41">
      <c r="A10" s="87" t="str">
        <f ca="1">Declaration!B18</f>
        <v>Authorizer (*):</v>
      </c>
      <c r="B10" s="86" t="str">
        <f>Declaration!D18</f>
        <v>Shiraz Vakharia</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41">
      <c r="A11" s="87" t="str">
        <f ca="1">Declaration!B20</f>
        <v>Email - Authorizer (*):</v>
      </c>
      <c r="B11" s="86" t="str">
        <f>Declaration!D20</f>
        <v>ShirazVakharia@MV-Electronics.com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41">
      <c r="A12" s="87" t="str">
        <f ca="1">Declaration!B22</f>
        <v>Effective Date (*):</v>
      </c>
      <c r="B12" s="88">
        <f>Declaration!D22</f>
        <v>46152</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7.5">
      <c r="A13" s="86" t="str">
        <f ca="1">Declaration!B25</f>
        <v>1) Is any 3TG intentionally added or used in the product(s) or in the production process? (*)</v>
      </c>
      <c r="B13" s="89"/>
      <c r="C13" s="89"/>
      <c r="D13" s="93"/>
      <c r="E13" s="19" t="s">
        <v>773</v>
      </c>
      <c r="F13" s="90"/>
      <c r="H13" s="18">
        <f t="shared" si="3"/>
        <v>0</v>
      </c>
    </row>
    <row r="14" spans="1:10" ht="27.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41">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41">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41">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4">
      <c r="A18" s="86" t="str">
        <f ca="1">Declaration!B31</f>
        <v>2) Does any 3TG remain in the product(s)? (*)</v>
      </c>
      <c r="B18" s="89"/>
      <c r="C18" s="89"/>
      <c r="D18" s="93"/>
      <c r="E18" s="19" t="s">
        <v>771</v>
      </c>
      <c r="F18" s="90"/>
      <c r="J18" s="143"/>
    </row>
    <row r="19" spans="1:10" ht="41">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41">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41">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41">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41">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41">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41">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41">
      <c r="A27" s="87" t="str">
        <f ca="1">Declaration!B41</f>
        <v>Tungsten  (*)</v>
      </c>
      <c r="B27" s="86" t="str">
        <f>IF(AND($B$17="Yes",$B$22="Yes"),Declaration!D41,0)</f>
        <v>No</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6" t="str">
        <f ca="1">Declaration!B43</f>
        <v>4) Do any of the smelters in your supply chain source the 3TG from conflict-affected and high-risk areas? (*)</v>
      </c>
      <c r="B28" s="86"/>
      <c r="C28" s="86"/>
      <c r="D28" s="94"/>
      <c r="E28" s="19"/>
      <c r="F28" s="19"/>
      <c r="G28" s="19"/>
      <c r="I28" s="142"/>
    </row>
    <row r="29" spans="1:10" ht="41.15"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7" t="str">
        <f ca="1">Declaration!B47</f>
        <v>Tungsten  (*)</v>
      </c>
      <c r="B32" s="86" t="str">
        <f>IF(AND($B$17="Yes",$B$22="Yes"),Declaration!D47,0)</f>
        <v>No</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40.5">
      <c r="A33" s="86" t="str">
        <f ca="1">Declaration!B49</f>
        <v>5) Does 100 percent of the 3TG (necessary to the functionality or production of your products) originate from recycled or scrap sources?  (*)</v>
      </c>
      <c r="B33" s="89"/>
      <c r="C33" s="89"/>
      <c r="D33" s="93"/>
      <c r="E33" s="19" t="s">
        <v>1261</v>
      </c>
      <c r="F33" s="90"/>
      <c r="J33" s="143"/>
    </row>
    <row r="34" spans="1:10" ht="41">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41">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41">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41">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40.5">
      <c r="A38" s="86" t="str">
        <f ca="1">Declaration!B55</f>
        <v>6) What percentage of relevant suppliers have provided a response to your supply chain survey?  (*)</v>
      </c>
      <c r="B38" s="89"/>
      <c r="C38" s="89"/>
      <c r="D38" s="93"/>
      <c r="E38" s="19" t="s">
        <v>770</v>
      </c>
      <c r="F38" s="90"/>
    </row>
    <row r="39" spans="1:10" ht="27.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7.5">
      <c r="A40" s="87" t="str">
        <f ca="1">Declaration!B57</f>
        <v>Tin  (*)</v>
      </c>
      <c r="B40" s="251">
        <f>IF(AND($B$15="Yes",$B$20="Yes"),Declaration!D57,0)</f>
        <v>1</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7.5">
      <c r="A41" s="87" t="str">
        <f ca="1">Declaration!B58</f>
        <v>Gold  (*)</v>
      </c>
      <c r="B41" s="251">
        <f>IF(AND($B$16="Yes",$B$21="Yes"),Declaration!D58,0)</f>
        <v>1</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7.5">
      <c r="A42" s="87" t="str">
        <f ca="1">Declaration!B59</f>
        <v>Tungsten  (*)</v>
      </c>
      <c r="B42" s="251">
        <f>IF(AND($B$17="Yes",$B$22="Yes"),Declaration!D59,0)</f>
        <v>1</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4">
      <c r="A43" s="86" t="str">
        <f ca="1">Declaration!B61</f>
        <v>7) Have you identified all of the smelters supplying the 3TG to your supply chain?  (*)</v>
      </c>
      <c r="B43" s="89"/>
      <c r="C43" s="89"/>
      <c r="D43" s="93"/>
      <c r="E43" s="19" t="s">
        <v>771</v>
      </c>
      <c r="F43" s="90"/>
    </row>
    <row r="44" spans="1:10" ht="54.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4.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4.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4.5">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7.5">
      <c r="A48" s="86" t="str">
        <f ca="1">Declaration!B67</f>
        <v>8) Has all applicable smelter information received by your company been reported in this declaration?  (*)</v>
      </c>
      <c r="B48" s="89"/>
      <c r="C48" s="89"/>
      <c r="D48" s="93"/>
      <c r="E48" s="19" t="s">
        <v>772</v>
      </c>
      <c r="F48" s="90"/>
    </row>
    <row r="49" spans="1:10" ht="41">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41">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41">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41">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7">
      <c r="A53" s="86" t="str">
        <f ca="1">Declaration!B74</f>
        <v>Question</v>
      </c>
      <c r="B53" s="89"/>
      <c r="C53" s="89"/>
      <c r="D53" s="93"/>
      <c r="E53" s="19" t="s">
        <v>426</v>
      </c>
      <c r="F53" s="90"/>
      <c r="G53" s="90"/>
      <c r="H53" s="90"/>
    </row>
    <row r="54" spans="1:10" ht="41">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 customHeight="1">
      <c r="A56" s="86" t="s">
        <v>3</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41">
      <c r="A59" s="86" t="str">
        <f ca="1">Declaration!B83</f>
        <v>E. Does your company conduct Conflict Minerals survey(s) of your relevant supplier(s)? (*)</v>
      </c>
      <c r="B59" s="86" t="str">
        <f>Declaration!D83</f>
        <v>Yes, using other format (describe)</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41">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5" hidden="1">
      <c r="A61" s="86"/>
      <c r="B61" s="86"/>
      <c r="C61" s="86"/>
      <c r="D61" s="92"/>
      <c r="E61" s="19"/>
      <c r="F61" s="91"/>
      <c r="G61" s="67"/>
      <c r="H61" s="68"/>
      <c r="I61" s="142"/>
    </row>
    <row r="62" spans="1:10" ht="41">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41">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41">
      <c r="A64" s="86" t="s">
        <v>1254</v>
      </c>
      <c r="B64" s="86" t="str">
        <f ca="1">IF(G64=1,"No products or item numbers listed","One or more product / item numbers have been provided")</f>
        <v>One or more product / item numbers have been provided</v>
      </c>
      <c r="C64" s="86" t="str">
        <f t="shared" ca="1" si="13"/>
        <v>Complete</v>
      </c>
      <c r="D64" s="92" t="str">
        <f ca="1">IF(H64=1,"Click here to enter detail on Product List tab","")</f>
        <v/>
      </c>
      <c r="E64" s="19" t="s">
        <v>1261</v>
      </c>
      <c r="F64" s="91">
        <f>IF(B5=Declaration!Q9,1,0)</f>
        <v>0</v>
      </c>
      <c r="G64" s="67" cm="1">
        <f t="array" aca="1" ref="G64" ca="1">IF(INDIRECT("'Product List'!B6")="",1,0)</f>
        <v>0</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41">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41">
      <c r="A66" s="86" t="s">
        <v>1761</v>
      </c>
      <c r="B66" s="86"/>
      <c r="C66" s="86" t="str">
        <f t="shared" ca="1" si="13"/>
        <v>Complete</v>
      </c>
      <c r="D66" s="92" t="str">
        <f>IF(H66=0,"","Click here to provide smelter information")</f>
        <v/>
      </c>
      <c r="E66" s="19" t="s">
        <v>770</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41">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List'!AB$5:AB$2504,"Gold?*")&gt;0),0,1)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41">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List'!AB$5:AB$2504,"Tungsten?*")&gt;0),0,1)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7">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4"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C10"/>
    </sheetView>
  </sheetViews>
  <sheetFormatPr defaultColWidth="8.84375" defaultRowHeight="13.5"/>
  <cols>
    <col min="1" max="1" width="3.15234375" style="259" customWidth="1"/>
    <col min="2" max="2" width="39.84375" style="262" customWidth="1"/>
    <col min="3" max="5" width="39.84375" style="259" customWidth="1"/>
    <col min="6" max="6" width="58.84375" style="259" customWidth="1"/>
    <col min="7" max="7" width="1.61328125" style="259" customWidth="1"/>
    <col min="8" max="8" width="9" style="259" customWidth="1"/>
    <col min="9" max="16384" width="8.84375" style="260"/>
  </cols>
  <sheetData>
    <row r="1" spans="1:8" s="20" customFormat="1" ht="35.15"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t="s">
        <v>15905</v>
      </c>
      <c r="C6" s="95" t="s">
        <v>15906</v>
      </c>
      <c r="D6" s="95"/>
      <c r="E6" s="95"/>
      <c r="F6" s="95"/>
      <c r="G6" s="258"/>
    </row>
    <row r="7" spans="1:8" ht="15">
      <c r="A7" s="126"/>
      <c r="B7" s="257" t="s">
        <v>15907</v>
      </c>
      <c r="C7" s="95" t="s">
        <v>15908</v>
      </c>
      <c r="D7" s="95"/>
      <c r="E7" s="95"/>
      <c r="F7" s="95"/>
      <c r="G7" s="258"/>
    </row>
    <row r="8" spans="1:8" ht="15">
      <c r="A8" s="126"/>
      <c r="B8" s="257" t="s">
        <v>15909</v>
      </c>
      <c r="C8" s="95" t="s">
        <v>15910</v>
      </c>
      <c r="D8" s="95"/>
      <c r="E8" s="95"/>
      <c r="F8" s="95"/>
      <c r="G8" s="258"/>
    </row>
    <row r="9" spans="1:8" ht="15">
      <c r="A9" s="126"/>
      <c r="B9" s="257" t="s">
        <v>15911</v>
      </c>
      <c r="C9" s="95" t="s">
        <v>15912</v>
      </c>
      <c r="D9" s="95"/>
      <c r="E9" s="95"/>
      <c r="F9" s="95"/>
      <c r="G9" s="258"/>
    </row>
    <row r="10" spans="1:8" ht="15">
      <c r="A10" s="126"/>
      <c r="B10" s="257" t="s">
        <v>15913</v>
      </c>
      <c r="C10" s="95" t="s">
        <v>15914</v>
      </c>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4" customHeight="1" thickBot="1">
      <c r="A2006" s="127"/>
      <c r="B2006" s="397" t="str">
        <f ca="1">OFFSET(L!$C$1,MATCH("General"&amp;"Cpy",L!$A:$A,0)-1,SL,,)</f>
        <v>© 2026 Responsible Minerals Initiative. All rights reserved.</v>
      </c>
      <c r="C2006" s="397"/>
      <c r="D2006" s="397"/>
      <c r="E2006" s="397"/>
      <c r="F2006" s="397"/>
      <c r="G2006" s="261"/>
    </row>
    <row r="2007" spans="1:7" ht="14"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73" bestFit="1" customWidth="1"/>
    <col min="2" max="2" width="42.84375" style="173" customWidth="1"/>
    <col min="3" max="3" width="63.84375" style="173" customWidth="1"/>
    <col min="4" max="4" width="25.61328125" style="173" customWidth="1"/>
    <col min="5" max="5" width="12.61328125" style="173" customWidth="1"/>
    <col min="6" max="6" width="12.61328125" style="174" customWidth="1"/>
    <col min="7" max="7" width="15.3828125" style="173" customWidth="1"/>
    <col min="8" max="8" width="23.84375" style="173" customWidth="1"/>
    <col min="9" max="9" width="28.15234375" style="173" customWidth="1"/>
    <col min="10" max="10" width="48.23046875" style="173" hidden="1" customWidth="1"/>
    <col min="11" max="11" width="49.765625" style="173" hidden="1" customWidth="1"/>
    <col min="12" max="16384" width="8.84375" style="173"/>
  </cols>
  <sheetData>
    <row r="1" spans="1:11" ht="168.65"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4375" defaultRowHeight="13.5"/>
  <cols>
    <col min="1" max="1" width="14.61328125" style="148" customWidth="1"/>
    <col min="2" max="2" width="14" style="148" customWidth="1"/>
    <col min="3" max="3" width="6.15234375" style="148" customWidth="1"/>
    <col min="4" max="4" width="56.23046875" style="148" customWidth="1"/>
    <col min="5" max="5" width="53.765625" style="216" customWidth="1"/>
    <col min="6" max="6" width="54.15234375" style="148" customWidth="1"/>
    <col min="7" max="7" width="68.23046875" style="148" customWidth="1"/>
    <col min="8" max="8" width="49.23046875" style="148" customWidth="1"/>
    <col min="9" max="9" width="51.61328125" style="148" customWidth="1"/>
    <col min="10" max="10" width="50.23046875" style="148" customWidth="1"/>
    <col min="11" max="11" width="51.84375" customWidth="1"/>
    <col min="12" max="12" width="66.84375" style="239" customWidth="1"/>
    <col min="13" max="13" width="46.15234375" style="106" customWidth="1"/>
    <col min="14" max="15" width="8.84375" style="106" customWidth="1"/>
    <col min="16" max="16384" width="8.843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1">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37.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0.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0.5">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0.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0.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0.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1">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1">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7.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0.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0.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48.5">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1.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0.5">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91.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55">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6">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6">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0.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8">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08">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08">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1.5">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64.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3">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8.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01.5">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0.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7">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7.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4">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1">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4.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1.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7.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7.5">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1">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2">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89">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6">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0.5">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02.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10.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48.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48.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97">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4.5">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0.5">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7">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7.5">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0.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1">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89">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3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48.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7.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08">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9.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08">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7.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48.5">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08">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0">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70">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1">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2.5">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89">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5.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0.5">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5">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4">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7">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7">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9">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40.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0.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9">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9">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40.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7">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7.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2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9">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0.5">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9">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7">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7">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7">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7">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7">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7">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27">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7">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7">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7">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7">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7">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0.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0.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4">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0.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4">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0.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0.5">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0.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0.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0.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4">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4">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4">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4">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7.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7.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7.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7.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67.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67.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67.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67.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67.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67.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4">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67.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0.5">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4">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4">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4">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0.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0.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0.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0.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4">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4">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4">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4.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0.5">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0.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0.5">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0.5">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0.5">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1">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7.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7.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62" customWidth="1"/>
    <col min="2" max="2" width="57.15234375" style="62" customWidth="1"/>
    <col min="3" max="16384" width="8.843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01505C1D-B246-48AA-8E05-A483B6FDB476}"/>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E5561E8B-92D5-4E17-AAB9-0EF8C2C8CCCC}"/>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A7E62E6-C8BD-4651-8495-CE70B2ADE5C7}"/>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Shiraz Vakharia</cp:lastModifiedBy>
  <cp:lastPrinted>2015-04-21T20:47:43Z</cp:lastPrinted>
  <dcterms:created xsi:type="dcterms:W3CDTF">2010-06-21T21:00:23Z</dcterms:created>
  <dcterms:modified xsi:type="dcterms:W3CDTF">2026-05-11T01:30:23Z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ies>
</file>